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ANNA~1.KOT\AppData\Local\Temp\"/>
    </mc:Choice>
  </mc:AlternateContent>
  <xr:revisionPtr revIDLastSave="0" documentId="13_ncr:1_{53519778-4A06-4FCA-9EE5-93365E6CCCF1}" xr6:coauthVersionLast="36" xr6:coauthVersionMax="36" xr10:uidLastSave="{00000000-0000-0000-0000-000000000000}"/>
  <bookViews>
    <workbookView xWindow="0" yWindow="0" windowWidth="20460" windowHeight="7620" tabRatio="908" firstSheet="6" activeTab="8" xr2:uid="{00000000-000D-0000-FFFF-FFFF00000000}"/>
  </bookViews>
  <sheets>
    <sheet name="Załącznik nr 1 do SWZ" sheetId="2" r:id="rId1"/>
    <sheet name="Część nr 1" sheetId="3" r:id="rId2"/>
    <sheet name="Część nr 2" sheetId="4" r:id="rId3"/>
    <sheet name="Część nr 3" sheetId="5" r:id="rId4"/>
    <sheet name="Część nr 4" sheetId="6" r:id="rId5"/>
    <sheet name="Część nr 5" sheetId="7" r:id="rId6"/>
    <sheet name="Część nr 6" sheetId="8" r:id="rId7"/>
    <sheet name="Część nr 7" sheetId="9" r:id="rId8"/>
    <sheet name="Część nr 8" sheetId="10" r:id="rId9"/>
    <sheet name="Część nr 9" sheetId="11" r:id="rId10"/>
    <sheet name="Część nr 10" sheetId="12" r:id="rId11"/>
    <sheet name="Część nr 11" sheetId="13" r:id="rId12"/>
    <sheet name="Część nr 12" sheetId="14" r:id="rId13"/>
    <sheet name="Część nr 13" sheetId="15" r:id="rId14"/>
    <sheet name="Część nr 14" sheetId="16" r:id="rId15"/>
    <sheet name="Część nr 15" sheetId="17" r:id="rId16"/>
    <sheet name="Część nr 16" sheetId="18" r:id="rId17"/>
    <sheet name="Część nr 17" sheetId="19" r:id="rId18"/>
    <sheet name="Część nr 18" sheetId="20" r:id="rId19"/>
    <sheet name="Część nr 19" sheetId="21" r:id="rId20"/>
    <sheet name="Część nr 20" sheetId="22" r:id="rId21"/>
    <sheet name="Część nr 21" sheetId="23" r:id="rId22"/>
    <sheet name="Część nr 22" sheetId="24" r:id="rId23"/>
    <sheet name="Część nr 23" sheetId="25" r:id="rId24"/>
    <sheet name="Część nr 24" sheetId="26" r:id="rId25"/>
    <sheet name="Część nr 25" sheetId="27" r:id="rId26"/>
    <sheet name="Część nr 26" sheetId="28" r:id="rId27"/>
    <sheet name="Część nr 27" sheetId="29" r:id="rId28"/>
    <sheet name="Część nr 28" sheetId="30" r:id="rId29"/>
    <sheet name="Część nr 29" sheetId="31" r:id="rId30"/>
    <sheet name="Część nr 30" sheetId="32" r:id="rId31"/>
    <sheet name="Część nr 31" sheetId="33" r:id="rId32"/>
    <sheet name="Część nr 32" sheetId="34" r:id="rId33"/>
    <sheet name="Część nr 33" sheetId="35" r:id="rId34"/>
    <sheet name="Część nr 34" sheetId="36" r:id="rId35"/>
    <sheet name="Część nr 35" sheetId="37" r:id="rId36"/>
    <sheet name="Część nr 36" sheetId="38" r:id="rId37"/>
    <sheet name="Część nr 37" sheetId="39" r:id="rId38"/>
    <sheet name="Część nr 38" sheetId="40" r:id="rId39"/>
    <sheet name="Część nr 39" sheetId="41" r:id="rId40"/>
    <sheet name="Część nr 40" sheetId="42" r:id="rId41"/>
    <sheet name="Część nr 41" sheetId="43" r:id="rId42"/>
    <sheet name="Część nr 42" sheetId="44" r:id="rId43"/>
    <sheet name="Część nr 43" sheetId="45" r:id="rId44"/>
    <sheet name="Część nr 44" sheetId="46" r:id="rId45"/>
    <sheet name="Część nr 45" sheetId="47" r:id="rId46"/>
    <sheet name="Część nr 46" sheetId="48" r:id="rId47"/>
    <sheet name="Część nr 47" sheetId="49" r:id="rId48"/>
    <sheet name="Część nr 48" sheetId="50" r:id="rId49"/>
    <sheet name="Część nr 49" sheetId="51" r:id="rId50"/>
    <sheet name="Część nr 50" sheetId="52" r:id="rId51"/>
    <sheet name="Część nr 51" sheetId="53" r:id="rId52"/>
    <sheet name="Część nr 52" sheetId="54" r:id="rId53"/>
    <sheet name="Część nr 53" sheetId="55" r:id="rId54"/>
    <sheet name="Część nr 54" sheetId="56" r:id="rId55"/>
    <sheet name="Część nr 55" sheetId="57" r:id="rId56"/>
    <sheet name="Część nr 56" sheetId="58" r:id="rId57"/>
    <sheet name="Część nr 57" sheetId="59" r:id="rId58"/>
    <sheet name="Część nr 58" sheetId="60" r:id="rId59"/>
    <sheet name="Część nr 59" sheetId="61" r:id="rId60"/>
    <sheet name="Część nr 60" sheetId="62" r:id="rId61"/>
    <sheet name="Część nr 61" sheetId="63" r:id="rId62"/>
    <sheet name="Część nr 62" sheetId="64" r:id="rId63"/>
    <sheet name="Część nr 63" sheetId="65" r:id="rId64"/>
    <sheet name="Część nr 64" sheetId="66" r:id="rId65"/>
    <sheet name="Część nr 65" sheetId="67" r:id="rId66"/>
    <sheet name="Część nr 66" sheetId="68" r:id="rId67"/>
    <sheet name="Część nr 67" sheetId="69" r:id="rId68"/>
    <sheet name="Część nr 68" sheetId="70" r:id="rId69"/>
    <sheet name="Część nr 69" sheetId="71" r:id="rId70"/>
    <sheet name="Część nr 70" sheetId="72" r:id="rId71"/>
    <sheet name="Część nr 71" sheetId="73" r:id="rId72"/>
    <sheet name="Część nr 72" sheetId="74" r:id="rId73"/>
    <sheet name="Część nr 73" sheetId="75" r:id="rId74"/>
    <sheet name="Część nr 74" sheetId="76" r:id="rId75"/>
    <sheet name="Część nr 75" sheetId="77" r:id="rId76"/>
    <sheet name="Część nr 76" sheetId="79" r:id="rId77"/>
    <sheet name="Część nr 77" sheetId="82" r:id="rId78"/>
  </sheets>
  <definedNames>
    <definedName name="FO" localSheetId="0">'Załącznik nr 1 do SWZ'!$A$1:$H$104</definedName>
    <definedName name="for" localSheetId="1">'Część nr 1'!$A$1:$K$22</definedName>
    <definedName name="Print_Area" localSheetId="1">'Część nr 1'!$A$1:$L$22</definedName>
    <definedName name="Print_Area" localSheetId="10">'Część nr 10'!$A$1:$K$13</definedName>
    <definedName name="Print_Area" localSheetId="11">'Część nr 11'!$A$1:$K$17</definedName>
    <definedName name="Print_Area" localSheetId="12">'Część nr 12'!$A$1:$K$15</definedName>
    <definedName name="Print_Area" localSheetId="13">'Część nr 13'!$A$1:$K$25</definedName>
    <definedName name="Print_Area" localSheetId="14">'Część nr 14'!$A$1:$K$13</definedName>
    <definedName name="Print_Area" localSheetId="15">'Część nr 15'!$A$1:$K$15</definedName>
    <definedName name="Print_Area" localSheetId="16">'Część nr 16'!$A$1:$K$30</definedName>
    <definedName name="Print_Area" localSheetId="17">'Część nr 17'!$A$1:$K$19</definedName>
    <definedName name="Print_Area" localSheetId="18">'Część nr 18'!$A$1:$K$33</definedName>
    <definedName name="Print_Area" localSheetId="19">'Część nr 19'!$A$1:$K$31</definedName>
    <definedName name="Print_Area" localSheetId="2">'Część nr 2'!$A$1:$K$16</definedName>
    <definedName name="Print_Area" localSheetId="20">'Część nr 20'!$A$1:$K$15</definedName>
    <definedName name="Print_Area" localSheetId="21">'Część nr 21'!$A$1:$K$37</definedName>
    <definedName name="Print_Area" localSheetId="22">'Część nr 22'!$A$1:$K$17</definedName>
    <definedName name="Print_Area" localSheetId="23">'Część nr 23'!$A$1:$K$14</definedName>
    <definedName name="Print_Area" localSheetId="24">'Część nr 24'!$A$1:$K$17</definedName>
    <definedName name="Print_Area" localSheetId="25">'Część nr 25'!$A$1:$K$19</definedName>
    <definedName name="Print_Area" localSheetId="26">'Część nr 26'!$A$1:$K$18</definedName>
    <definedName name="Print_Area" localSheetId="27">'Część nr 27'!$A$1:$K$15</definedName>
    <definedName name="Print_Area" localSheetId="28">'Część nr 28'!$A$1:$K$15</definedName>
    <definedName name="Print_Area" localSheetId="29">'Część nr 29'!$A$1:$K$16</definedName>
    <definedName name="Print_Area" localSheetId="3">'Część nr 3'!$A$1:$K$17</definedName>
    <definedName name="Print_Area" localSheetId="30">'Część nr 30'!$A$1:$K$17</definedName>
    <definedName name="Print_Area" localSheetId="31">'Część nr 31'!$A$1:$K$13</definedName>
    <definedName name="Print_Area" localSheetId="32">'Część nr 32'!$A$1:$K$13</definedName>
    <definedName name="Print_Area" localSheetId="33">'Część nr 33'!$A$1:$K$17</definedName>
    <definedName name="Print_Area" localSheetId="34">'Część nr 34'!$A$1:$K$13</definedName>
    <definedName name="Print_Area" localSheetId="38">'Część nr 38'!$A$1:$K$14</definedName>
    <definedName name="Print_Area" localSheetId="4">'Część nr 4'!$A$1:$K$22</definedName>
    <definedName name="Print_Area" localSheetId="5">'Część nr 5'!$A$1:$K$31</definedName>
    <definedName name="Print_Area" localSheetId="6">'Część nr 6'!$A$1:$K$13</definedName>
    <definedName name="Print_Area" localSheetId="67">'Część nr 67'!$A$1:$K$14</definedName>
    <definedName name="Print_Area" localSheetId="7">'Część nr 7'!$A$1:$K$16</definedName>
    <definedName name="Print_Area" localSheetId="8">'Część nr 8'!$A$1:$K$15</definedName>
    <definedName name="Print_Area" localSheetId="9">'Część nr 9'!$A$1:$K$15</definedName>
    <definedName name="Print_Area" localSheetId="0">'Załącznik nr 1 do SWZ'!$A$1:$I$108</definedName>
    <definedName name="Z_1A0A59C7_6CA7_4317_90A9_40DF16B65ADD_.wvu.PrintArea" localSheetId="1" hidden="1">'Część nr 1'!$A$1:$K$22</definedName>
    <definedName name="Z_1A0A59C7_6CA7_4317_90A9_40DF16B65ADD_.wvu.PrintArea" localSheetId="10" hidden="1">'Część nr 10'!$A$1:$K$13</definedName>
    <definedName name="Z_1A0A59C7_6CA7_4317_90A9_40DF16B65ADD_.wvu.PrintArea" localSheetId="11" hidden="1">'Część nr 11'!$A$1:$K$17</definedName>
    <definedName name="Z_1A0A59C7_6CA7_4317_90A9_40DF16B65ADD_.wvu.PrintArea" localSheetId="12" hidden="1">'Część nr 12'!$A$1:$K$15</definedName>
    <definedName name="Z_1A0A59C7_6CA7_4317_90A9_40DF16B65ADD_.wvu.PrintArea" localSheetId="13" hidden="1">'Część nr 13'!$A$1:$K$25</definedName>
    <definedName name="Z_1A0A59C7_6CA7_4317_90A9_40DF16B65ADD_.wvu.PrintArea" localSheetId="14" hidden="1">'Część nr 14'!$A$1:$K$13</definedName>
    <definedName name="Z_1A0A59C7_6CA7_4317_90A9_40DF16B65ADD_.wvu.PrintArea" localSheetId="15" hidden="1">'Część nr 15'!$A$1:$K$15</definedName>
    <definedName name="Z_1A0A59C7_6CA7_4317_90A9_40DF16B65ADD_.wvu.PrintArea" localSheetId="16" hidden="1">'Część nr 16'!$A$1:$K$30</definedName>
    <definedName name="Z_1A0A59C7_6CA7_4317_90A9_40DF16B65ADD_.wvu.PrintArea" localSheetId="17" hidden="1">'Część nr 17'!$A$1:$K$19</definedName>
    <definedName name="Z_1A0A59C7_6CA7_4317_90A9_40DF16B65ADD_.wvu.PrintArea" localSheetId="18" hidden="1">'Część nr 18'!$A$1:$K$33</definedName>
    <definedName name="Z_1A0A59C7_6CA7_4317_90A9_40DF16B65ADD_.wvu.PrintArea" localSheetId="19" hidden="1">'Część nr 19'!$A$1:$K$31</definedName>
    <definedName name="Z_1A0A59C7_6CA7_4317_90A9_40DF16B65ADD_.wvu.PrintArea" localSheetId="2" hidden="1">'Część nr 2'!$A$1:$K$16</definedName>
    <definedName name="Z_1A0A59C7_6CA7_4317_90A9_40DF16B65ADD_.wvu.PrintArea" localSheetId="20" hidden="1">'Część nr 20'!$A$1:$K$15</definedName>
    <definedName name="Z_1A0A59C7_6CA7_4317_90A9_40DF16B65ADD_.wvu.PrintArea" localSheetId="21" hidden="1">'Część nr 21'!$A$1:$K$37</definedName>
    <definedName name="Z_1A0A59C7_6CA7_4317_90A9_40DF16B65ADD_.wvu.PrintArea" localSheetId="22" hidden="1">'Część nr 22'!$A$1:$K$17</definedName>
    <definedName name="Z_1A0A59C7_6CA7_4317_90A9_40DF16B65ADD_.wvu.PrintArea" localSheetId="23" hidden="1">'Część nr 23'!$A$1:$K$14</definedName>
    <definedName name="Z_1A0A59C7_6CA7_4317_90A9_40DF16B65ADD_.wvu.PrintArea" localSheetId="24" hidden="1">'Część nr 24'!$A$1:$K$17</definedName>
    <definedName name="Z_1A0A59C7_6CA7_4317_90A9_40DF16B65ADD_.wvu.PrintArea" localSheetId="25" hidden="1">'Część nr 25'!$A$1:$K$19</definedName>
    <definedName name="Z_1A0A59C7_6CA7_4317_90A9_40DF16B65ADD_.wvu.PrintArea" localSheetId="26" hidden="1">'Część nr 26'!$A$1:$K$18</definedName>
    <definedName name="Z_1A0A59C7_6CA7_4317_90A9_40DF16B65ADD_.wvu.PrintArea" localSheetId="27" hidden="1">'Część nr 27'!$A$1:$K$15</definedName>
    <definedName name="Z_1A0A59C7_6CA7_4317_90A9_40DF16B65ADD_.wvu.PrintArea" localSheetId="28" hidden="1">'Część nr 28'!$A$1:$K$15</definedName>
    <definedName name="Z_1A0A59C7_6CA7_4317_90A9_40DF16B65ADD_.wvu.PrintArea" localSheetId="29" hidden="1">'Część nr 29'!$A$1:$K$16</definedName>
    <definedName name="Z_1A0A59C7_6CA7_4317_90A9_40DF16B65ADD_.wvu.PrintArea" localSheetId="3" hidden="1">'Część nr 3'!$A$1:$K$17</definedName>
    <definedName name="Z_1A0A59C7_6CA7_4317_90A9_40DF16B65ADD_.wvu.PrintArea" localSheetId="30" hidden="1">'Część nr 30'!$A$1:$K$17</definedName>
    <definedName name="Z_1A0A59C7_6CA7_4317_90A9_40DF16B65ADD_.wvu.PrintArea" localSheetId="31" hidden="1">'Część nr 31'!$A$1:$K$13</definedName>
    <definedName name="Z_1A0A59C7_6CA7_4317_90A9_40DF16B65ADD_.wvu.PrintArea" localSheetId="32" hidden="1">'Część nr 32'!$A$1:$K$13</definedName>
    <definedName name="Z_1A0A59C7_6CA7_4317_90A9_40DF16B65ADD_.wvu.PrintArea" localSheetId="33" hidden="1">'Część nr 33'!$A$1:$K$17</definedName>
    <definedName name="Z_1A0A59C7_6CA7_4317_90A9_40DF16B65ADD_.wvu.PrintArea" localSheetId="34" hidden="1">'Część nr 34'!$A$1:$K$13</definedName>
    <definedName name="Z_1A0A59C7_6CA7_4317_90A9_40DF16B65ADD_.wvu.PrintArea" localSheetId="38" hidden="1">'Część nr 38'!$A$1:$K$14</definedName>
    <definedName name="Z_1A0A59C7_6CA7_4317_90A9_40DF16B65ADD_.wvu.PrintArea" localSheetId="4" hidden="1">'Część nr 4'!$A$1:$K$22</definedName>
    <definedName name="Z_1A0A59C7_6CA7_4317_90A9_40DF16B65ADD_.wvu.PrintArea" localSheetId="5" hidden="1">'Część nr 5'!$A$1:$K$31</definedName>
    <definedName name="Z_1A0A59C7_6CA7_4317_90A9_40DF16B65ADD_.wvu.PrintArea" localSheetId="6" hidden="1">'Część nr 6'!$A$1:$K$13</definedName>
    <definedName name="Z_1A0A59C7_6CA7_4317_90A9_40DF16B65ADD_.wvu.PrintArea" localSheetId="7" hidden="1">'Część nr 7'!$A$1:$K$16</definedName>
    <definedName name="Z_1A0A59C7_6CA7_4317_90A9_40DF16B65ADD_.wvu.PrintArea" localSheetId="8" hidden="1">'Część nr 8'!$A$1:$K$15</definedName>
    <definedName name="Z_1A0A59C7_6CA7_4317_90A9_40DF16B65ADD_.wvu.PrintArea" localSheetId="9" hidden="1">'Część nr 9'!$A$1:$K$15</definedName>
    <definedName name="Z_1A0A59C7_6CA7_4317_90A9_40DF16B65ADD_.wvu.PrintArea" localSheetId="0" hidden="1">'Załącznik nr 1 do SWZ'!$A$1:$H$104</definedName>
    <definedName name="Z_D0B43696_C677_428B_89B5_FA762F48CCFE_.wvu.PrintArea" localSheetId="1" hidden="1">'Część nr 1'!$A$1:$K$22</definedName>
    <definedName name="Z_D0B43696_C677_428B_89B5_FA762F48CCFE_.wvu.PrintArea" localSheetId="10" hidden="1">'Część nr 10'!$A$1:$K$13</definedName>
    <definedName name="Z_D0B43696_C677_428B_89B5_FA762F48CCFE_.wvu.PrintArea" localSheetId="11" hidden="1">'Część nr 11'!$A$1:$K$17</definedName>
    <definedName name="Z_D0B43696_C677_428B_89B5_FA762F48CCFE_.wvu.PrintArea" localSheetId="12" hidden="1">'Część nr 12'!$A$1:$K$15</definedName>
    <definedName name="Z_D0B43696_C677_428B_89B5_FA762F48CCFE_.wvu.PrintArea" localSheetId="13" hidden="1">'Część nr 13'!$A$1:$K$25</definedName>
    <definedName name="Z_D0B43696_C677_428B_89B5_FA762F48CCFE_.wvu.PrintArea" localSheetId="14" hidden="1">'Część nr 14'!$A$1:$K$13</definedName>
    <definedName name="Z_D0B43696_C677_428B_89B5_FA762F48CCFE_.wvu.PrintArea" localSheetId="15" hidden="1">'Część nr 15'!$A$1:$K$15</definedName>
    <definedName name="Z_D0B43696_C677_428B_89B5_FA762F48CCFE_.wvu.PrintArea" localSheetId="16" hidden="1">'Część nr 16'!$A$1:$K$30</definedName>
    <definedName name="Z_D0B43696_C677_428B_89B5_FA762F48CCFE_.wvu.PrintArea" localSheetId="17" hidden="1">'Część nr 17'!$A$1:$K$19</definedName>
    <definedName name="Z_D0B43696_C677_428B_89B5_FA762F48CCFE_.wvu.PrintArea" localSheetId="18" hidden="1">'Część nr 18'!$A$1:$K$33</definedName>
    <definedName name="Z_D0B43696_C677_428B_89B5_FA762F48CCFE_.wvu.PrintArea" localSheetId="19" hidden="1">'Część nr 19'!$A$1:$K$31</definedName>
    <definedName name="Z_D0B43696_C677_428B_89B5_FA762F48CCFE_.wvu.PrintArea" localSheetId="2" hidden="1">'Część nr 2'!$A$1:$K$16</definedName>
    <definedName name="Z_D0B43696_C677_428B_89B5_FA762F48CCFE_.wvu.PrintArea" localSheetId="20" hidden="1">'Część nr 20'!$A$1:$K$15</definedName>
    <definedName name="Z_D0B43696_C677_428B_89B5_FA762F48CCFE_.wvu.PrintArea" localSheetId="21" hidden="1">'Część nr 21'!$A$1:$K$37</definedName>
    <definedName name="Z_D0B43696_C677_428B_89B5_FA762F48CCFE_.wvu.PrintArea" localSheetId="22" hidden="1">'Część nr 22'!$A$1:$K$17</definedName>
    <definedName name="Z_D0B43696_C677_428B_89B5_FA762F48CCFE_.wvu.PrintArea" localSheetId="23" hidden="1">'Część nr 23'!$A$1:$K$14</definedName>
    <definedName name="Z_D0B43696_C677_428B_89B5_FA762F48CCFE_.wvu.PrintArea" localSheetId="24" hidden="1">'Część nr 24'!$A$1:$K$17</definedName>
    <definedName name="Z_D0B43696_C677_428B_89B5_FA762F48CCFE_.wvu.PrintArea" localSheetId="25" hidden="1">'Część nr 25'!$A$1:$K$19</definedName>
    <definedName name="Z_D0B43696_C677_428B_89B5_FA762F48CCFE_.wvu.PrintArea" localSheetId="26" hidden="1">'Część nr 26'!$A$1:$K$18</definedName>
    <definedName name="Z_D0B43696_C677_428B_89B5_FA762F48CCFE_.wvu.PrintArea" localSheetId="27" hidden="1">'Część nr 27'!$A$1:$K$15</definedName>
    <definedName name="Z_D0B43696_C677_428B_89B5_FA762F48CCFE_.wvu.PrintArea" localSheetId="28" hidden="1">'Część nr 28'!$A$1:$K$15</definedName>
    <definedName name="Z_D0B43696_C677_428B_89B5_FA762F48CCFE_.wvu.PrintArea" localSheetId="29" hidden="1">'Część nr 29'!$A$1:$K$16</definedName>
    <definedName name="Z_D0B43696_C677_428B_89B5_FA762F48CCFE_.wvu.PrintArea" localSheetId="3" hidden="1">'Część nr 3'!$A$1:$K$17</definedName>
    <definedName name="Z_D0B43696_C677_428B_89B5_FA762F48CCFE_.wvu.PrintArea" localSheetId="30" hidden="1">'Część nr 30'!$A$1:$K$17</definedName>
    <definedName name="Z_D0B43696_C677_428B_89B5_FA762F48CCFE_.wvu.PrintArea" localSheetId="31" hidden="1">'Część nr 31'!$A$1:$K$13</definedName>
    <definedName name="Z_D0B43696_C677_428B_89B5_FA762F48CCFE_.wvu.PrintArea" localSheetId="32" hidden="1">'Część nr 32'!$A$1:$K$13</definedName>
    <definedName name="Z_D0B43696_C677_428B_89B5_FA762F48CCFE_.wvu.PrintArea" localSheetId="33" hidden="1">'Część nr 33'!$A$1:$K$17</definedName>
    <definedName name="Z_D0B43696_C677_428B_89B5_FA762F48CCFE_.wvu.PrintArea" localSheetId="34" hidden="1">'Część nr 34'!$A$1:$K$13</definedName>
    <definedName name="Z_D0B43696_C677_428B_89B5_FA762F48CCFE_.wvu.PrintArea" localSheetId="38" hidden="1">'Część nr 38'!$A$1:$K$14</definedName>
    <definedName name="Z_D0B43696_C677_428B_89B5_FA762F48CCFE_.wvu.PrintArea" localSheetId="4" hidden="1">'Część nr 4'!$A$1:$K$22</definedName>
    <definedName name="Z_D0B43696_C677_428B_89B5_FA762F48CCFE_.wvu.PrintArea" localSheetId="5" hidden="1">'Część nr 5'!$A$1:$K$31</definedName>
    <definedName name="Z_D0B43696_C677_428B_89B5_FA762F48CCFE_.wvu.PrintArea" localSheetId="6" hidden="1">'Część nr 6'!$A$1:$K$13</definedName>
    <definedName name="Z_D0B43696_C677_428B_89B5_FA762F48CCFE_.wvu.PrintArea" localSheetId="7" hidden="1">'Część nr 7'!$A$1:$K$16</definedName>
    <definedName name="Z_D0B43696_C677_428B_89B5_FA762F48CCFE_.wvu.PrintArea" localSheetId="8" hidden="1">'Część nr 8'!$A$1:$K$15</definedName>
    <definedName name="Z_D0B43696_C677_428B_89B5_FA762F48CCFE_.wvu.PrintArea" localSheetId="9" hidden="1">'Część nr 9'!$A$1:$K$15</definedName>
    <definedName name="Z_D0B43696_C677_428B_89B5_FA762F48CCFE_.wvu.PrintArea" localSheetId="0" hidden="1">'Załącznik nr 1 do SWZ'!$A$1:$H$104</definedName>
  </definedNames>
  <calcPr calcId="191029"/>
  <customWorkbookViews>
    <customWorkbookView name="Lesław Peter - Widok osobisty" guid="{D0B43696-C677-428B-89B5-FA762F48CCFE}" mergeInterval="0" personalView="1" maximized="1" xWindow="-8" yWindow="-8" windowWidth="1616" windowHeight="1176" tabRatio="908" activeSheetId="79"/>
    <customWorkbookView name="Łukasz Wagner - Widok osobisty" guid="{1A0A59C7-6CA7-4317-90A9-40DF16B65ADD}" mergeInterval="0" personalView="1" xWindow="93" yWindow="2" windowWidth="1200" windowHeight="833" tabRatio="908" activeSheetId="79"/>
  </customWorkbookViews>
</workbook>
</file>

<file path=xl/calcChain.xml><?xml version="1.0" encoding="utf-8"?>
<calcChain xmlns="http://schemas.openxmlformats.org/spreadsheetml/2006/main">
  <c r="B24" i="2" l="1"/>
  <c r="C24" i="2"/>
  <c r="B25" i="2"/>
  <c r="C25" i="2"/>
  <c r="B26" i="2"/>
  <c r="C26" i="2"/>
  <c r="B27" i="2"/>
  <c r="C27" i="2"/>
  <c r="B28" i="2"/>
  <c r="C28" i="2"/>
  <c r="B92" i="2" l="1"/>
  <c r="D10" i="59" l="1"/>
  <c r="E10" i="59" l="1"/>
  <c r="E11" i="59"/>
  <c r="E12" i="59"/>
  <c r="E13" i="59"/>
  <c r="E14" i="59"/>
  <c r="E15" i="59"/>
  <c r="E16" i="59"/>
  <c r="E17" i="59"/>
  <c r="E18" i="59"/>
  <c r="E19" i="59"/>
  <c r="E20" i="59"/>
  <c r="E21" i="59"/>
  <c r="E22" i="59"/>
  <c r="E23" i="59"/>
  <c r="E24" i="59"/>
  <c r="E25" i="59"/>
  <c r="E26" i="59"/>
  <c r="E27" i="59"/>
  <c r="E28" i="59"/>
  <c r="E29" i="59"/>
  <c r="E30" i="59"/>
  <c r="E31" i="59"/>
  <c r="E32" i="59"/>
  <c r="E33" i="59"/>
  <c r="E34" i="59"/>
  <c r="E35" i="59"/>
  <c r="E36" i="59"/>
  <c r="E37" i="59"/>
  <c r="E38" i="59"/>
  <c r="E39" i="59"/>
  <c r="E40" i="59"/>
  <c r="E41" i="59"/>
  <c r="E42" i="59"/>
  <c r="E43" i="59"/>
  <c r="E44" i="59"/>
  <c r="E45" i="59"/>
  <c r="E46" i="59"/>
  <c r="E47" i="59"/>
  <c r="E48" i="59"/>
  <c r="E49" i="59"/>
  <c r="E50" i="59"/>
  <c r="E51" i="59"/>
  <c r="E52" i="59"/>
  <c r="E53" i="59"/>
  <c r="E54" i="59"/>
  <c r="E55" i="59"/>
  <c r="E56" i="59"/>
  <c r="E57" i="59"/>
  <c r="E58" i="59"/>
  <c r="E59" i="59"/>
  <c r="E60" i="59"/>
  <c r="E61" i="59"/>
  <c r="E62" i="59"/>
  <c r="E63" i="59"/>
  <c r="E64" i="59"/>
  <c r="E65" i="59"/>
  <c r="E66" i="59"/>
  <c r="E67" i="59"/>
  <c r="E68" i="59"/>
  <c r="E69" i="59"/>
  <c r="E70" i="59"/>
  <c r="E71" i="59"/>
  <c r="E72" i="59"/>
  <c r="E73" i="59"/>
  <c r="E74" i="59"/>
  <c r="E75" i="59"/>
  <c r="E76" i="59"/>
  <c r="E77" i="59"/>
  <c r="E78" i="59"/>
  <c r="E79" i="59"/>
  <c r="E80" i="59"/>
  <c r="E81" i="59"/>
  <c r="E82" i="59"/>
  <c r="E83" i="59"/>
  <c r="E84" i="59"/>
  <c r="E85" i="59"/>
  <c r="E86" i="59"/>
  <c r="E87" i="59"/>
  <c r="E88" i="59"/>
  <c r="E89" i="59"/>
  <c r="E90" i="59"/>
  <c r="E91" i="59"/>
  <c r="E92" i="59"/>
  <c r="E93" i="59"/>
  <c r="E94" i="59"/>
  <c r="E95" i="59"/>
  <c r="E96" i="59"/>
  <c r="E97" i="59"/>
  <c r="E98" i="59"/>
  <c r="E99" i="59"/>
  <c r="E100" i="59"/>
  <c r="E101" i="59"/>
  <c r="E102" i="59"/>
  <c r="E103" i="59"/>
  <c r="E104" i="59"/>
  <c r="E105" i="59"/>
  <c r="E106" i="59"/>
  <c r="E107" i="59"/>
  <c r="E108" i="59"/>
  <c r="E109" i="59"/>
  <c r="E110" i="59"/>
  <c r="E111" i="59"/>
  <c r="E112" i="59"/>
  <c r="E113" i="59"/>
  <c r="E114" i="59"/>
  <c r="E115" i="59"/>
  <c r="E116" i="59"/>
  <c r="E117" i="59"/>
  <c r="E118" i="59"/>
  <c r="E119" i="59"/>
  <c r="E120" i="59"/>
  <c r="E9" i="59"/>
  <c r="C100" i="2" l="1"/>
  <c r="C99" i="2"/>
  <c r="B100" i="2"/>
  <c r="B99" i="2"/>
  <c r="C10" i="32"/>
  <c r="E12" i="32"/>
  <c r="E11" i="32"/>
  <c r="E9" i="32"/>
  <c r="C9" i="32"/>
  <c r="D30" i="59" l="1"/>
  <c r="D9" i="59"/>
  <c r="E10" i="76"/>
  <c r="E9" i="76"/>
  <c r="E11" i="77" l="1"/>
  <c r="E10" i="77"/>
  <c r="E9" i="77"/>
  <c r="C9" i="77"/>
  <c r="C98" i="2" l="1"/>
  <c r="C11" i="77"/>
  <c r="B11" i="77"/>
  <c r="C10" i="77"/>
  <c r="B10" i="77"/>
  <c r="B9" i="77"/>
  <c r="B9" i="59"/>
  <c r="B10" i="59"/>
  <c r="C10" i="59"/>
  <c r="B11" i="59"/>
  <c r="C11" i="59"/>
  <c r="D11" i="59"/>
  <c r="B12" i="59"/>
  <c r="C12" i="59"/>
  <c r="D12" i="59"/>
  <c r="B13" i="59"/>
  <c r="C13" i="59"/>
  <c r="D13" i="59"/>
  <c r="B14" i="59"/>
  <c r="C14" i="59"/>
  <c r="D14" i="59"/>
  <c r="B15" i="59"/>
  <c r="C15" i="59"/>
  <c r="D15" i="59"/>
  <c r="B16" i="59"/>
  <c r="C16" i="59"/>
  <c r="D16" i="59"/>
  <c r="B17" i="59"/>
  <c r="C17" i="59"/>
  <c r="D17" i="59"/>
  <c r="B18" i="59"/>
  <c r="C18" i="59"/>
  <c r="D18" i="59"/>
  <c r="B19" i="59"/>
  <c r="C19" i="59"/>
  <c r="D19" i="59"/>
  <c r="B20" i="59"/>
  <c r="C20" i="59"/>
  <c r="D20" i="59"/>
  <c r="B21" i="59"/>
  <c r="C21" i="59"/>
  <c r="D21" i="59"/>
  <c r="B22" i="59"/>
  <c r="C22" i="59"/>
  <c r="D22" i="59"/>
  <c r="B23" i="59"/>
  <c r="C23" i="59"/>
  <c r="D23" i="59"/>
  <c r="B24" i="59"/>
  <c r="C24" i="59"/>
  <c r="D24" i="59"/>
  <c r="B25" i="59"/>
  <c r="C25" i="59"/>
  <c r="D25" i="59"/>
  <c r="B26" i="59"/>
  <c r="C26" i="59"/>
  <c r="D26" i="59"/>
  <c r="B27" i="59"/>
  <c r="C27" i="59"/>
  <c r="D27" i="59"/>
  <c r="B28" i="59"/>
  <c r="C28" i="59"/>
  <c r="D28" i="59"/>
  <c r="B29" i="59"/>
  <c r="C29" i="59"/>
  <c r="D29" i="59"/>
  <c r="B30" i="59"/>
  <c r="C30" i="59"/>
  <c r="B31" i="59"/>
  <c r="C31" i="59"/>
  <c r="D31" i="59"/>
  <c r="B32" i="59"/>
  <c r="C32" i="59"/>
  <c r="D32" i="59"/>
  <c r="B33" i="59"/>
  <c r="C33" i="59"/>
  <c r="D33" i="59"/>
  <c r="B34" i="59"/>
  <c r="C34" i="59"/>
  <c r="D34" i="59"/>
  <c r="B35" i="59"/>
  <c r="C35" i="59"/>
  <c r="D35" i="59"/>
  <c r="B36" i="59"/>
  <c r="C36" i="59"/>
  <c r="D36" i="59"/>
  <c r="B37" i="59"/>
  <c r="C37" i="59"/>
  <c r="D37" i="59"/>
  <c r="B38" i="59"/>
  <c r="C38" i="59"/>
  <c r="D38" i="59"/>
  <c r="B39" i="59"/>
  <c r="C39" i="59"/>
  <c r="D39" i="59"/>
  <c r="B40" i="59"/>
  <c r="C40" i="59"/>
  <c r="D40" i="59"/>
  <c r="B41" i="59"/>
  <c r="C41" i="59"/>
  <c r="D41" i="59"/>
  <c r="B42" i="59"/>
  <c r="C42" i="59"/>
  <c r="D42" i="59"/>
  <c r="B43" i="59"/>
  <c r="C43" i="59"/>
  <c r="D43" i="59"/>
  <c r="B44" i="59"/>
  <c r="C44" i="59"/>
  <c r="D44" i="59"/>
  <c r="B45" i="59"/>
  <c r="C45" i="59"/>
  <c r="D45" i="59"/>
  <c r="B46" i="59"/>
  <c r="C46" i="59"/>
  <c r="D46" i="59"/>
  <c r="B47" i="59"/>
  <c r="C47" i="59"/>
  <c r="D47" i="59"/>
  <c r="B48" i="59"/>
  <c r="C48" i="59"/>
  <c r="D48" i="59"/>
  <c r="B49" i="59"/>
  <c r="C49" i="59"/>
  <c r="D49" i="59"/>
  <c r="B50" i="59"/>
  <c r="C50" i="59"/>
  <c r="D50" i="59"/>
  <c r="B51" i="59"/>
  <c r="C51" i="59"/>
  <c r="D51" i="59"/>
  <c r="B52" i="59"/>
  <c r="C52" i="59"/>
  <c r="D52" i="59"/>
  <c r="B53" i="59"/>
  <c r="C53" i="59"/>
  <c r="D53" i="59"/>
  <c r="B54" i="59"/>
  <c r="C54" i="59"/>
  <c r="D54" i="59"/>
  <c r="B55" i="59"/>
  <c r="C55" i="59"/>
  <c r="D55" i="59"/>
  <c r="B56" i="59"/>
  <c r="C56" i="59"/>
  <c r="D56" i="59"/>
  <c r="B57" i="59"/>
  <c r="C57" i="59"/>
  <c r="D57" i="59"/>
  <c r="B58" i="59"/>
  <c r="C58" i="59"/>
  <c r="D58" i="59"/>
  <c r="B59" i="59"/>
  <c r="C59" i="59"/>
  <c r="D59" i="59"/>
  <c r="B60" i="59"/>
  <c r="C60" i="59"/>
  <c r="D60" i="59"/>
  <c r="B61" i="59"/>
  <c r="C61" i="59"/>
  <c r="D61" i="59"/>
  <c r="B62" i="59"/>
  <c r="C62" i="59"/>
  <c r="D62" i="59"/>
  <c r="B63" i="59"/>
  <c r="C63" i="59"/>
  <c r="D63" i="59"/>
  <c r="B64" i="59"/>
  <c r="C64" i="59"/>
  <c r="D64" i="59"/>
  <c r="B65" i="59"/>
  <c r="C65" i="59"/>
  <c r="D65" i="59"/>
  <c r="B66" i="59"/>
  <c r="C66" i="59"/>
  <c r="D66" i="59"/>
  <c r="B67" i="59"/>
  <c r="C67" i="59"/>
  <c r="D67" i="59"/>
  <c r="B68" i="59"/>
  <c r="C68" i="59"/>
  <c r="D68" i="59"/>
  <c r="B69" i="59"/>
  <c r="C69" i="59"/>
  <c r="D69" i="59"/>
  <c r="B70" i="59"/>
  <c r="C70" i="59"/>
  <c r="D70" i="59"/>
  <c r="B71" i="59"/>
  <c r="C71" i="59"/>
  <c r="D71" i="59"/>
  <c r="B72" i="59"/>
  <c r="C72" i="59"/>
  <c r="D72" i="59"/>
  <c r="B73" i="59"/>
  <c r="C73" i="59"/>
  <c r="D73" i="59"/>
  <c r="B74" i="59"/>
  <c r="C74" i="59"/>
  <c r="D74" i="59"/>
  <c r="B75" i="59"/>
  <c r="C75" i="59"/>
  <c r="D75" i="59"/>
  <c r="B76" i="59"/>
  <c r="C76" i="59"/>
  <c r="D76" i="59"/>
  <c r="B77" i="59"/>
  <c r="C77" i="59"/>
  <c r="D77" i="59"/>
  <c r="B78" i="59"/>
  <c r="C78" i="59"/>
  <c r="D78" i="59"/>
  <c r="B79" i="59"/>
  <c r="C79" i="59"/>
  <c r="D79" i="59"/>
  <c r="B80" i="59"/>
  <c r="C80" i="59"/>
  <c r="D80" i="59"/>
  <c r="B81" i="59"/>
  <c r="C81" i="59"/>
  <c r="D81" i="59"/>
  <c r="B82" i="59"/>
  <c r="C82" i="59"/>
  <c r="D82" i="59"/>
  <c r="B83" i="59"/>
  <c r="C83" i="59"/>
  <c r="D83" i="59"/>
  <c r="B84" i="59"/>
  <c r="C84" i="59"/>
  <c r="D84" i="59"/>
  <c r="B85" i="59"/>
  <c r="C85" i="59"/>
  <c r="D85" i="59"/>
  <c r="B86" i="59"/>
  <c r="C86" i="59"/>
  <c r="D86" i="59"/>
  <c r="B87" i="59"/>
  <c r="C87" i="59"/>
  <c r="D87" i="59"/>
  <c r="B88" i="59"/>
  <c r="C88" i="59"/>
  <c r="D88" i="59"/>
  <c r="B89" i="59"/>
  <c r="C89" i="59"/>
  <c r="D89" i="59"/>
  <c r="B90" i="59"/>
  <c r="C90" i="59"/>
  <c r="D90" i="59"/>
  <c r="B91" i="59"/>
  <c r="C91" i="59"/>
  <c r="D91" i="59"/>
  <c r="B92" i="59"/>
  <c r="C92" i="59"/>
  <c r="D92" i="59"/>
  <c r="B93" i="59"/>
  <c r="C93" i="59"/>
  <c r="D93" i="59"/>
  <c r="B94" i="59"/>
  <c r="C94" i="59"/>
  <c r="D94" i="59"/>
  <c r="B95" i="59"/>
  <c r="C95" i="59"/>
  <c r="D95" i="59"/>
  <c r="B96" i="59"/>
  <c r="C96" i="59"/>
  <c r="D96" i="59"/>
  <c r="B97" i="59"/>
  <c r="C97" i="59"/>
  <c r="D97" i="59"/>
  <c r="B98" i="59"/>
  <c r="C98" i="59"/>
  <c r="D98" i="59"/>
  <c r="B99" i="59"/>
  <c r="C99" i="59"/>
  <c r="D99" i="59"/>
  <c r="B100" i="59"/>
  <c r="C100" i="59"/>
  <c r="D100" i="59"/>
  <c r="B101" i="59"/>
  <c r="C101" i="59"/>
  <c r="D101" i="59"/>
  <c r="B102" i="59"/>
  <c r="C102" i="59"/>
  <c r="D102" i="59"/>
  <c r="B103" i="59"/>
  <c r="C103" i="59"/>
  <c r="D103" i="59"/>
  <c r="B104" i="59"/>
  <c r="C104" i="59"/>
  <c r="D104" i="59"/>
  <c r="B105" i="59"/>
  <c r="C105" i="59"/>
  <c r="D105" i="59"/>
  <c r="B106" i="59"/>
  <c r="C106" i="59"/>
  <c r="D106" i="59"/>
  <c r="B107" i="59"/>
  <c r="C107" i="59"/>
  <c r="D107" i="59"/>
  <c r="B108" i="59"/>
  <c r="C108" i="59"/>
  <c r="D108" i="59"/>
  <c r="B109" i="59"/>
  <c r="C109" i="59"/>
  <c r="D109" i="59"/>
  <c r="B110" i="59"/>
  <c r="C110" i="59"/>
  <c r="D110" i="59"/>
  <c r="B111" i="59"/>
  <c r="C111" i="59"/>
  <c r="D111" i="59"/>
  <c r="B112" i="59"/>
  <c r="C112" i="59"/>
  <c r="D112" i="59"/>
  <c r="B113" i="59"/>
  <c r="C113" i="59"/>
  <c r="D113" i="59"/>
  <c r="B114" i="59"/>
  <c r="C114" i="59"/>
  <c r="D114" i="59"/>
  <c r="B115" i="59"/>
  <c r="C115" i="59"/>
  <c r="D115" i="59"/>
  <c r="B116" i="59"/>
  <c r="D116" i="59"/>
  <c r="B117" i="59"/>
  <c r="D117" i="59"/>
  <c r="B118" i="59"/>
  <c r="D118" i="59"/>
  <c r="B9" i="52"/>
  <c r="B10" i="52"/>
  <c r="B11" i="52"/>
  <c r="B12" i="52"/>
  <c r="B13" i="52"/>
  <c r="B9" i="44"/>
  <c r="C9" i="44"/>
  <c r="B10" i="44"/>
  <c r="C10" i="44"/>
  <c r="B11" i="44"/>
  <c r="C11" i="44"/>
  <c r="B12" i="44"/>
  <c r="C12" i="44"/>
  <c r="B13" i="44"/>
  <c r="C13" i="44"/>
  <c r="B9" i="32"/>
  <c r="B10" i="32"/>
  <c r="B11" i="32"/>
  <c r="C11" i="32"/>
  <c r="B12" i="32"/>
  <c r="C12" i="32"/>
  <c r="B9" i="18"/>
  <c r="C9" i="18"/>
  <c r="B10" i="18"/>
  <c r="C10" i="18"/>
  <c r="B11" i="18"/>
  <c r="C11" i="18"/>
  <c r="B12" i="18"/>
  <c r="C12" i="18"/>
  <c r="B13" i="18"/>
  <c r="C13" i="18"/>
  <c r="B14" i="18"/>
  <c r="C14" i="18"/>
  <c r="B15" i="18"/>
  <c r="C15" i="18"/>
  <c r="B16" i="18"/>
  <c r="C16" i="18"/>
  <c r="B17" i="18"/>
  <c r="C17" i="18"/>
  <c r="B18" i="18"/>
  <c r="C18" i="18"/>
  <c r="B19" i="18"/>
  <c r="C19" i="18"/>
  <c r="B20" i="18"/>
  <c r="C20" i="18"/>
  <c r="B21" i="18"/>
  <c r="C21" i="18"/>
  <c r="B22" i="18"/>
  <c r="C22" i="18"/>
  <c r="B23" i="18"/>
  <c r="C23" i="18"/>
  <c r="B24" i="18"/>
  <c r="C24" i="18"/>
  <c r="B26" i="18"/>
  <c r="C26" i="18"/>
  <c r="B18" i="15"/>
  <c r="C18" i="15"/>
  <c r="B19" i="15"/>
  <c r="C19" i="15"/>
  <c r="B21" i="15"/>
  <c r="C21" i="15"/>
  <c r="B17" i="7"/>
  <c r="C17" i="7"/>
  <c r="B18" i="7"/>
  <c r="C18" i="7"/>
  <c r="B19" i="7"/>
  <c r="C19" i="7"/>
  <c r="B20" i="7"/>
  <c r="C20" i="7"/>
  <c r="B21" i="7"/>
  <c r="C21" i="7"/>
  <c r="B22" i="7"/>
  <c r="C22" i="7"/>
  <c r="B23" i="7"/>
  <c r="C23" i="7"/>
  <c r="B24" i="7"/>
  <c r="C24" i="7"/>
  <c r="B25" i="7"/>
  <c r="C25" i="7"/>
  <c r="B26" i="7"/>
  <c r="C26" i="7"/>
  <c r="B27" i="7"/>
  <c r="C27" i="7"/>
  <c r="B29" i="2"/>
  <c r="C29" i="2"/>
  <c r="B30" i="2"/>
  <c r="C30" i="2"/>
  <c r="B31" i="2"/>
  <c r="C31" i="2"/>
  <c r="B32" i="2"/>
  <c r="C32" i="2"/>
  <c r="B33" i="2"/>
  <c r="C33" i="2"/>
  <c r="B34" i="2"/>
  <c r="C34" i="2"/>
  <c r="B35" i="2"/>
  <c r="C35" i="2"/>
  <c r="B36" i="2"/>
  <c r="C36" i="2"/>
  <c r="B37" i="2"/>
  <c r="C37" i="2"/>
  <c r="B38" i="2"/>
  <c r="C38" i="2"/>
  <c r="B39" i="2"/>
  <c r="C39" i="2"/>
  <c r="B40" i="2"/>
  <c r="C40" i="2"/>
  <c r="B41" i="2"/>
  <c r="C41" i="2"/>
  <c r="B42" i="2"/>
  <c r="C42" i="2"/>
  <c r="B43" i="2"/>
  <c r="C43" i="2"/>
  <c r="B44" i="2"/>
  <c r="C44" i="2"/>
  <c r="B45" i="2"/>
  <c r="C45" i="2"/>
  <c r="B46" i="2"/>
  <c r="C46" i="2"/>
  <c r="B47" i="2"/>
  <c r="C47" i="2"/>
  <c r="B48" i="2"/>
  <c r="C48" i="2"/>
  <c r="B49" i="2"/>
  <c r="C49" i="2"/>
  <c r="B50" i="2"/>
  <c r="C50" i="2"/>
  <c r="B51" i="2"/>
  <c r="C51" i="2"/>
  <c r="B52" i="2"/>
  <c r="C52" i="2"/>
  <c r="B53" i="2"/>
  <c r="C53" i="2"/>
  <c r="B54" i="2"/>
  <c r="C54" i="2"/>
  <c r="B55" i="2"/>
  <c r="C55" i="2"/>
  <c r="B56" i="2"/>
  <c r="C56" i="2"/>
  <c r="B57" i="2"/>
  <c r="C57" i="2"/>
  <c r="B58" i="2"/>
  <c r="C58" i="2"/>
  <c r="B59" i="2"/>
  <c r="C59" i="2"/>
  <c r="B60" i="2"/>
  <c r="C60" i="2"/>
  <c r="B61" i="2"/>
  <c r="C61" i="2"/>
  <c r="B62" i="2"/>
  <c r="C62" i="2"/>
  <c r="B63" i="2"/>
  <c r="C63" i="2"/>
  <c r="B64" i="2"/>
  <c r="C64" i="2"/>
  <c r="B65" i="2"/>
  <c r="C65" i="2"/>
  <c r="B66" i="2"/>
  <c r="C66" i="2"/>
  <c r="B67" i="2"/>
  <c r="C67" i="2"/>
  <c r="B68" i="2"/>
  <c r="C68" i="2"/>
  <c r="B69" i="2"/>
  <c r="C69" i="2"/>
  <c r="B70" i="2"/>
  <c r="C70" i="2"/>
  <c r="B71" i="2"/>
  <c r="C71" i="2"/>
  <c r="B72" i="2"/>
  <c r="C72" i="2"/>
  <c r="B73" i="2"/>
  <c r="C73" i="2"/>
  <c r="B74" i="2"/>
  <c r="C74" i="2"/>
  <c r="B75" i="2"/>
  <c r="C75" i="2"/>
  <c r="B76" i="2"/>
  <c r="C76" i="2"/>
  <c r="B77" i="2"/>
  <c r="C77" i="2"/>
  <c r="B78" i="2"/>
  <c r="C78" i="2"/>
  <c r="B79" i="2"/>
  <c r="C79" i="2"/>
  <c r="B80" i="2"/>
  <c r="C80" i="2"/>
  <c r="B81" i="2"/>
  <c r="C81" i="2"/>
  <c r="B82" i="2"/>
  <c r="C82" i="2"/>
  <c r="B83" i="2"/>
  <c r="C83" i="2"/>
  <c r="B84" i="2"/>
  <c r="C84" i="2"/>
  <c r="B85" i="2"/>
  <c r="C85" i="2"/>
  <c r="B86" i="2"/>
  <c r="C86" i="2"/>
  <c r="B87" i="2"/>
  <c r="C87" i="2"/>
  <c r="B88" i="2"/>
  <c r="C88" i="2"/>
  <c r="B89" i="2"/>
  <c r="C89" i="2"/>
  <c r="B90" i="2"/>
  <c r="C90" i="2"/>
  <c r="B91" i="2"/>
  <c r="C91" i="2"/>
  <c r="C92" i="2"/>
  <c r="B93" i="2"/>
  <c r="C93" i="2"/>
  <c r="B94" i="2"/>
  <c r="C94" i="2"/>
  <c r="B95" i="2"/>
  <c r="C95" i="2"/>
  <c r="B96" i="2"/>
  <c r="C96" i="2"/>
  <c r="B97" i="2"/>
  <c r="C97" i="2"/>
  <c r="B98" i="2"/>
</calcChain>
</file>

<file path=xl/sharedStrings.xml><?xml version="1.0" encoding="utf-8"?>
<sst xmlns="http://schemas.openxmlformats.org/spreadsheetml/2006/main" count="2111" uniqueCount="682">
  <si>
    <t>Przegląd zgodny z wymaganiami producenta obejmujący min. czyszczenie,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min. wymianę elementów: filtr wewnętrzny z tłumikiem (10365), uszczelka (30020) – 2 szt., filtr wentylatora (34058), filtr wejściowy tlenu (06804), filtr wejściowy powietrza (20819), membrana zastawki wydechowej (10384), czujnik tlenu (0110043). Koszt przeglądu obejmuje koszty dojazdu.</t>
  </si>
  <si>
    <t>Część</t>
  </si>
  <si>
    <t>Składamy ofertę na następujące części:</t>
  </si>
  <si>
    <t>Numer części:</t>
  </si>
  <si>
    <t>Preirus</t>
  </si>
  <si>
    <t>KE13039107</t>
  </si>
  <si>
    <t>AMPLIVAL</t>
  </si>
  <si>
    <t>74175</t>
  </si>
  <si>
    <t>74149</t>
  </si>
  <si>
    <t>BX-41</t>
  </si>
  <si>
    <t>3K12946</t>
  </si>
  <si>
    <t>BX-51</t>
  </si>
  <si>
    <t>1922435</t>
  </si>
  <si>
    <t>339226</t>
  </si>
  <si>
    <t>CX31</t>
  </si>
  <si>
    <t>7B17635</t>
  </si>
  <si>
    <t>7B17615</t>
  </si>
  <si>
    <t>7E08602</t>
  </si>
  <si>
    <t>7B17339</t>
  </si>
  <si>
    <t>8G11085</t>
  </si>
  <si>
    <t>8E06537</t>
  </si>
  <si>
    <t>8E07217</t>
  </si>
  <si>
    <t>9H03072</t>
  </si>
  <si>
    <t>9H03050</t>
  </si>
  <si>
    <t>9H03300</t>
  </si>
  <si>
    <t>CX31 RBSF</t>
  </si>
  <si>
    <t>7J09665</t>
  </si>
  <si>
    <t>Eclipse 400</t>
  </si>
  <si>
    <t>674888</t>
  </si>
  <si>
    <t>Eclipse 50i</t>
  </si>
  <si>
    <t>910999</t>
  </si>
  <si>
    <t>910998</t>
  </si>
  <si>
    <t>0114273</t>
  </si>
  <si>
    <t>HUND H600</t>
  </si>
  <si>
    <t>1010201</t>
  </si>
  <si>
    <t>HUND V300</t>
  </si>
  <si>
    <t>1010234</t>
  </si>
  <si>
    <t>Motic BA 310 LED Binokular</t>
  </si>
  <si>
    <t>1.1130001919</t>
  </si>
  <si>
    <t>NICON Labophot2</t>
  </si>
  <si>
    <t>338632</t>
  </si>
  <si>
    <t>WILOVERT S</t>
  </si>
  <si>
    <t>BX53</t>
  </si>
  <si>
    <t>7G46601</t>
  </si>
  <si>
    <t>CKX53</t>
  </si>
  <si>
    <t>7G47230</t>
  </si>
  <si>
    <t>Nikon E200</t>
  </si>
  <si>
    <t>105264</t>
  </si>
  <si>
    <t>80-02678</t>
  </si>
  <si>
    <t>Pojemność</t>
  </si>
  <si>
    <t>1-10ml</t>
  </si>
  <si>
    <t>Przegląd zostanie udokumentowany kartą pracy/raportem serwisowym, oraz wpisem do paszportu technicznego. Mikroskopy zostaną oznakowany nalepką z terminem wykonania kolejnego przeglądu.</t>
  </si>
  <si>
    <t>Przegląd zgodny z wymaganiami producenta obejmujący min. czyszczenie, kalibrację i testy kontrolne, sprawdzenie zgodności parametrów funkcjonalnych urządzeń z deklarowanymi przez producenta, sprawdzenie poprawności działania zgodnie z normami bezpieczeństwa zalecanymi przez producenta, konserwację zgodnie z zaleceniami producenta.</t>
  </si>
  <si>
    <t>Alphamaquet 1150</t>
  </si>
  <si>
    <t>02710</t>
  </si>
  <si>
    <t>CF-H185L</t>
  </si>
  <si>
    <t>Mini ETD-2 PlusGA</t>
  </si>
  <si>
    <t>Myjnie endoskopowe, szafa do suszenia endoskopów</t>
  </si>
  <si>
    <t>EDC Plus</t>
  </si>
  <si>
    <t>NG817130</t>
  </si>
  <si>
    <t>Ion S5</t>
  </si>
  <si>
    <t>2772717110499</t>
  </si>
  <si>
    <t>Sekwenator Ion S5 z wyposażeniem</t>
  </si>
  <si>
    <t>Ion Chef</t>
  </si>
  <si>
    <t>242470864</t>
  </si>
  <si>
    <t>ID-Pipetor FP-4</t>
  </si>
  <si>
    <t>A09312221</t>
  </si>
  <si>
    <t>A11713961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</si>
  <si>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wymianę zestawów serwisowych (Maintenance Kit) w myjniach oraz filtrów w szafie. Wykonawca w ramach przeglądu zobowiązuje się do przygotowania bieżących zaleceń eksploatacyjnych związanych ze stanem aparatów oraz ich dalszym użytkowaniem. Wykonawca zobowiązuje się do wykonania ekspertyz technicznych związanych z wykrytymi usterkami oraz kosztorysu naprawy. Koszt przeglądu obejmuje koszty dojazdu.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</si>
  <si>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 Wykonawca w ramach przeglądu zobowiązuje się do przygotowania bieżących zaleceń eksploatacyjnych związanych ze stanem aparatów oraz ich dalszym użytkowaniem. Wykonawca zobowiązuje się do wykonania ekspertyz technicznych związanych z wykrytymi usterkami oraz kosztorysu naprawy. Wykonawca zobowiązuje się do zwrotu endoskopów w nie pogorszonym stanie technicznym, wszelkie działania mogące pogorszyć stan techniczny endoskopów muszą być wcześniej uzgadniane z Zamawiającym.</t>
  </si>
  <si>
    <t>Przegląd zgodny z wymaganiami producenta obejmujący min. pomiary mocy wyjściowych dla poszczególnych gniazd i trybów pracy, czyszczenie wnętrza i ocena stanu elementów sterujących, kontrola aktywacji, konserwację zgodnie z zaleceniami producenta, testy bezpieczeństwa elektrycznego.</t>
  </si>
  <si>
    <t xml:space="preserve">Przegląd zgodny z wymaganiami producenta obejmujący min. pomiary mocy wyjściowych dla poszczególnych gniazd i trybów pracy, czyszczenie wnętrza i ocena stanu elementów sterujących, kontrola aktywacji, konserwację zgodnie z zaleceniami producenta, testy bezpieczeństwa elektrycznego. </t>
  </si>
  <si>
    <t>Primus</t>
  </si>
  <si>
    <t>ASFJ-0047</t>
  </si>
  <si>
    <t>GN640</t>
  </si>
  <si>
    <t>Poszczególne przeglądy zostaną udokumentowane kartą pracy/raportem serwisowym, oraz wpisem do paszportu technicznego, a wyniki testu bezpieczeństwa elektrycznego na oddzielnym protokole. Aparaty zostaną oznakowane nalepką z terminem wykonania kolejnego przeglądu. Koszt przeglądu obejmuje koszty dojazdu lub wysyłki. W przypadku wysyłki, fakt pobrania sprzętu do przeglądu i odbioru sprzętu po przeglądzie zostanie potwierdzony pokwitowaniem z zaznaczeniem nazwy, typu i numeru fabrycznego sprzętu. Wykonawca ponosi pełną odpowiedzialność za przewożony sprzęt.</t>
  </si>
  <si>
    <t>Przegląd zgodny z wymaganiami producenta obejmujący min. czyszczenie, sprawdzenie bezpieczeństwa mechanicznego i elektrycznego, kontrolę zużycia części i wyposażenia, sprawdzenie poprawności ogólnego funkcjonowania myjni, kalibrację i testy kontrolne, sprawdzenie zgodności parametrów funkcjonalnych urządzeń z deklarowanymi przez producenta, sprawdzenie poprawności działania zgodnie z normami bezpieczeństwa zalecanymi przez producenta, konserwację zgodnie z zaleceniami producenta, sprawdzenie i czyszczenie sitek na elektrozaworach, sprawdzenie i odkamienienie dysz i wytwornicy pary, testy bezpieczeństwa elektrycznego. Koszt przeglądu obejmuje koszty dojazdu.</t>
  </si>
  <si>
    <t>133569_1_5/1</t>
  </si>
  <si>
    <t>133569_1_5/2</t>
  </si>
  <si>
    <t>133569_1_5/3</t>
  </si>
  <si>
    <t>133569_1_5/4</t>
  </si>
  <si>
    <t>133569_1_5/5</t>
  </si>
  <si>
    <t>0606/00057</t>
  </si>
  <si>
    <t>CareAssist</t>
  </si>
  <si>
    <t>HRP000634197</t>
  </si>
  <si>
    <t>HRP000634198</t>
  </si>
  <si>
    <t>0914/022131/00555</t>
  </si>
  <si>
    <t>0914/022131/00564</t>
  </si>
  <si>
    <t>0914/022131/00567</t>
  </si>
  <si>
    <t>0914/022131/00560</t>
  </si>
  <si>
    <t>0914/022131/00565</t>
  </si>
  <si>
    <t>0914/022131/00568</t>
  </si>
  <si>
    <t>0914/022131/00550</t>
  </si>
  <si>
    <t>0914/022131/00548</t>
  </si>
  <si>
    <t>0914/022131/00570</t>
  </si>
  <si>
    <t>0914/022131/00559</t>
  </si>
  <si>
    <t>0914/022131/00554</t>
  </si>
  <si>
    <t>0914/022131/00556</t>
  </si>
  <si>
    <t>0914/022131/00551</t>
  </si>
  <si>
    <t>0914/022131/00569</t>
  </si>
  <si>
    <t>0914/022131/00566</t>
  </si>
  <si>
    <t>0914/022131/00562</t>
  </si>
  <si>
    <t>0914/022131/00549</t>
  </si>
  <si>
    <t>0914/022131/00552</t>
  </si>
  <si>
    <t>0914/022131/00561</t>
  </si>
  <si>
    <t>0914/022131/00553</t>
  </si>
  <si>
    <t>0914/022131/00558</t>
  </si>
  <si>
    <t>0914/022131/00563</t>
  </si>
  <si>
    <t>0914/022131/00557</t>
  </si>
  <si>
    <t>0606/00055</t>
  </si>
  <si>
    <t>0606/00056</t>
  </si>
  <si>
    <t>LE-12.0/N-337/06</t>
  </si>
  <si>
    <t>LR-03.7</t>
  </si>
  <si>
    <t>0808/01063</t>
  </si>
  <si>
    <t>0808/01064</t>
  </si>
  <si>
    <t>0908/01065</t>
  </si>
  <si>
    <t>0908/01067</t>
  </si>
  <si>
    <t>0908/01066</t>
  </si>
  <si>
    <t>T1K25934EX</t>
  </si>
  <si>
    <t>B650</t>
  </si>
  <si>
    <t>Falcon E</t>
  </si>
  <si>
    <t>SK005-4</t>
  </si>
  <si>
    <t>802-71-42</t>
  </si>
  <si>
    <t>802-71-43</t>
  </si>
  <si>
    <t>802-71-44</t>
  </si>
  <si>
    <t>802-71-45</t>
  </si>
  <si>
    <t>Aparaty elektrochirurgiczne Erbe</t>
  </si>
  <si>
    <t>Telepack X/ Telecam DX II</t>
  </si>
  <si>
    <t>20045020/ VV836914-H</t>
  </si>
  <si>
    <t>149401407R</t>
  </si>
  <si>
    <t>GEN11</t>
  </si>
  <si>
    <t>Poszczególne przeglądy zostaną udokumentowane kartą pracy/raportem serwisowym, oraz wpisem do paszportu technicznego, a wyniki testu bezpieczeństwa elektrycznego na oddzielnym protokole. Aparaty zostaną oznakowane nalepką z terminem wykonania kolejnego przeglądu. Koszt przeglądu obejmuje koszty dojazdu lub wysyłki. W przypadku wysyłki Wykonawca ponosi pełną odpowiedzialność za przewożony sprzęt.</t>
  </si>
  <si>
    <t>Poszczególne przeglądy zostaną udokumentowane kartą pracy/raportem serwisowym, oraz wpisem do paszportu technicznego. Aparaty zostaną oznakowane nalepką z terminem wykonania kolejnego przeglądu. Koszt przeglądu obejmuje koszty dojazdu lub wysyłki. W przypadku wysyłki Wykonawca ponosi pełną odpowiedzialność za przewożony sprzęt.</t>
  </si>
  <si>
    <t>Poszczególne przeglądy zostaną udokumentowane kartą pracy/raportem serwisowym, oraz wpisem do paszportu technicznego, a wyniki testu bezpieczeństwa elektrycznego na oddzielnym protokole. Aparaty zostaną oznakowane nalepką z terminem wykonania kolejnego przeglądu. Koszt przeglądu obejmuje koszty dojazdu.</t>
  </si>
  <si>
    <t>Cusa Excel+</t>
  </si>
  <si>
    <t>HGK1405704IE</t>
  </si>
  <si>
    <t>SEW14127236HA</t>
  </si>
  <si>
    <t>EV1000</t>
  </si>
  <si>
    <t>EVD55520</t>
  </si>
  <si>
    <t>Drystar Axys</t>
  </si>
  <si>
    <t>Przegląd zgodny z wymaganiami producenta obejmujący min. czyszczenie i konserwację, sprawdzenie poprawności działania, niezbędne testy i kalibracje. Koszt przeglądu obejmuje koszty dojazdu.</t>
  </si>
  <si>
    <t>Urządzenie Elmasteam ES5000</t>
  </si>
  <si>
    <t>000221029</t>
  </si>
  <si>
    <t>NMC 50 1/30-20VF</t>
  </si>
  <si>
    <t>Poszczególne przeglądy zostaną udokumentowane kartą pracy/raportem serwisowym, oraz wpisem do paszportu technicznego. Aparaty zostaną oznakowane nalepką z terminem wykonania kolejnego przeglądu.</t>
  </si>
  <si>
    <t>Oncentra Prostate</t>
  </si>
  <si>
    <t>Oncentra Brachy</t>
  </si>
  <si>
    <t>Przegląd zgodny z wymaganiami producenta obejmujący min. czyszczenie i konserwacja wnętrza serwerów i stacji klienckich,weryfikacja błędów w logach systemowych oraz logach aplikacji. Sprawdzenie poprawności wykonywania backupów. Sprawdzenie poprawności działania systemów. Koszt przeglądu obejmuje koszty dojazdu.</t>
  </si>
  <si>
    <t>03E65C6E</t>
  </si>
  <si>
    <t>Poszczególne przeglądy zostaną udokumentowane kartą pracy/raportem serwisowym wraz z listą kontrolną przeprowadzonych czynności, oraz wpisem do paszportu technicznego. Aparaty zostaną oznakowane nalepką z terminem wykonania kolejnego przeglądu.</t>
  </si>
  <si>
    <t>Przegląd zgodny z wymaganiami producenta obejmujący min. czyszczenie, sprawdzenie bezpieczeństwa mechanicznego i elektrycznego, sprawdzenie prawidłowego otwierania i zamykania szklanej pokrywy frontowej, prawidłowego ruchu osłony ze szkła ołowiowego, systemu wentylacji i systemu filtrów, systemu oświetlenia i UV, systemu podnośników,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sprawdzenie bezpieczeństwa elektrycznego w niezbędnym zakresie. Koszt przeglądu obejmuje również sprawdzenie mierników dawki Curiementor obejmujące kontrolę przewodów sygnałowych i przycisków, sprawdzenie zerowania i pomiaru tła, sprawdzenie działania źródłem kontrolnym dostarczonym przez użytkownika. Koszt przeglądu obejmuje koszty dojazdu.</t>
  </si>
  <si>
    <t>Przegląd zgodny z wymaganiami producenta obejmujący min. czyszczenie, sprawdzenie bezpieczeństwa mechanicznego i elektrycznego, smarowanie ruchomych części mechanicznych,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Koszt przeglądu obejmuje koszty dojazdu.</t>
  </si>
  <si>
    <t>Inkubatory CO2, cieplarki Incucell</t>
  </si>
  <si>
    <t>Przegląd zgodny z wymaganiami producenta obejmujący min. czyszczenie, sprawdzenie bezpieczeństwa mechanicznego i elektrycznego, kontrolę zużycia części i wyposażenia, sprawdzenie poprawności ogólnego funkcjonowania aparatów,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Koszt przeglądu obejmuje koszty dojazdu.</t>
  </si>
  <si>
    <t>Sekwenator kapilarny</t>
  </si>
  <si>
    <t>Heraus Megafuge 16</t>
  </si>
  <si>
    <t>Heraus Megafuge 8R</t>
  </si>
  <si>
    <t>29118-020</t>
  </si>
  <si>
    <t>2013000249</t>
  </si>
  <si>
    <t>42130970</t>
  </si>
  <si>
    <t>MDF-DU500VH-PE</t>
  </si>
  <si>
    <t>17090110</t>
  </si>
  <si>
    <t>MDF-DU702VX</t>
  </si>
  <si>
    <t>17070064</t>
  </si>
  <si>
    <t>17070059</t>
  </si>
  <si>
    <t>AB 3500</t>
  </si>
  <si>
    <t>Claire PRO B-2-130</t>
  </si>
  <si>
    <t>Zamrażarki niskotemperaturowe</t>
  </si>
  <si>
    <t>PLATINUM 340 V-4STD</t>
  </si>
  <si>
    <t>Nr ser.</t>
  </si>
  <si>
    <t xml:space="preserve">Przegląd zostanie udokumentowany kartą pracy/raportem serwisowym. Koszt przeglądu obejmuje koszty dojazdu lub wysyłki (wysyłka w 5 rzutach po kilkanaście pipet). </t>
  </si>
  <si>
    <t>Force Triad</t>
  </si>
  <si>
    <t>Poszczególne przeglądy zostaną udokumentowane kartą pracy/raportem serwisowym, oraz wpisem do paszportu technicznego, a wyniki testu bezpieczeństwa elektrycznego na oddzielnym protokole. Aparaty zostaną oznakowane nalepką z terminem wykonania kolejnego przeglądu. Koszt przeglądu obejmuje koszty dojazdu lub wysyłki. Wykonawca ponosi pełną odpowiedzialność za przewożony sprzęt.</t>
  </si>
  <si>
    <t xml:space="preserve">Przegląd zgodny z wymaganiami producenta obejmujący min. czyszczenie, kalibrację i testy kontrolne, sprawdzenie zgodności parametrów funkcjonalnych urządzeń z deklarowanymi przez producenta, sprawdzenie poprawności działania zgodnie z normami bezpieczeństwa zalecanymi przez producenta, konserwację zgodnie z zaleceniami producenta, wymianę baterii. </t>
  </si>
  <si>
    <t>GC-44000091 (CF-3C120730)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</si>
  <si>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</t>
  </si>
  <si>
    <t>Temat:</t>
  </si>
  <si>
    <t>Cena brutto:</t>
  </si>
  <si>
    <t>Kwota VAT:</t>
  </si>
  <si>
    <t>Nr</t>
  </si>
  <si>
    <t>Nazwa/ Model</t>
  </si>
  <si>
    <t>Nr seryjny</t>
  </si>
  <si>
    <t>Rok produkcji</t>
  </si>
  <si>
    <t>Przegląd do</t>
  </si>
  <si>
    <t>Cena netto</t>
  </si>
  <si>
    <t>Stawka podatku VAT</t>
  </si>
  <si>
    <t>Cena brutto</t>
  </si>
  <si>
    <t>AsCARD Mr BLUE</t>
  </si>
  <si>
    <t>228/07/A</t>
  </si>
  <si>
    <t>703/08</t>
  </si>
  <si>
    <t>227/07/A</t>
  </si>
  <si>
    <t>M-Trace</t>
  </si>
  <si>
    <t>Cena brutto razem:</t>
  </si>
  <si>
    <t>Pipety</t>
  </si>
  <si>
    <t>Mikroskopy</t>
  </si>
  <si>
    <t>Ciśnieniomierze</t>
  </si>
  <si>
    <t>711</t>
  </si>
  <si>
    <t>2500733L</t>
  </si>
  <si>
    <t>017409</t>
  </si>
  <si>
    <t>2500744L</t>
  </si>
  <si>
    <t>81001903</t>
  </si>
  <si>
    <t xml:space="preserve"> TMA-30 PRO</t>
  </si>
  <si>
    <t>01966</t>
  </si>
  <si>
    <t>elektroniczny</t>
  </si>
  <si>
    <t>11742</t>
  </si>
  <si>
    <t>0137013366</t>
  </si>
  <si>
    <t>HS-60B</t>
  </si>
  <si>
    <t>090702010</t>
  </si>
  <si>
    <t>050712200</t>
  </si>
  <si>
    <t>040602010</t>
  </si>
  <si>
    <t>Intermed</t>
  </si>
  <si>
    <t>26102012321</t>
  </si>
  <si>
    <t>KDS-1</t>
  </si>
  <si>
    <t>090546</t>
  </si>
  <si>
    <t>M3</t>
  </si>
  <si>
    <t>20070626197LF</t>
  </si>
  <si>
    <t>20070626198LF</t>
  </si>
  <si>
    <t>20111001061VG</t>
  </si>
  <si>
    <t>20120205529VG</t>
  </si>
  <si>
    <t>20131105585VG</t>
  </si>
  <si>
    <t>M4</t>
  </si>
  <si>
    <t>3604740L</t>
  </si>
  <si>
    <t>M4 Plus</t>
  </si>
  <si>
    <t>20080604911LF</t>
  </si>
  <si>
    <t>M6</t>
  </si>
  <si>
    <t>20080504114VF</t>
  </si>
  <si>
    <t>20070211914</t>
  </si>
  <si>
    <t>20110504416VG</t>
  </si>
  <si>
    <t>20120809891LG</t>
  </si>
  <si>
    <t>M6 Comfort</t>
  </si>
  <si>
    <t>20081002063VF</t>
  </si>
  <si>
    <t>20091221042VP</t>
  </si>
  <si>
    <t>2009122104VP</t>
  </si>
  <si>
    <t>20101221371LF</t>
  </si>
  <si>
    <t>20101221372LF</t>
  </si>
  <si>
    <t>20151012895VG</t>
  </si>
  <si>
    <t>20151012894VG</t>
  </si>
  <si>
    <t>Med-1</t>
  </si>
  <si>
    <t>0003261</t>
  </si>
  <si>
    <t>0003264</t>
  </si>
  <si>
    <t>Precision BPM</t>
  </si>
  <si>
    <t>000813</t>
  </si>
  <si>
    <t>stołowy</t>
  </si>
  <si>
    <t>01260509</t>
  </si>
  <si>
    <t>01250509</t>
  </si>
  <si>
    <t>02410509</t>
  </si>
  <si>
    <t>02420509</t>
  </si>
  <si>
    <t>01270509</t>
  </si>
  <si>
    <t>01230509</t>
  </si>
  <si>
    <t>Tech-med</t>
  </si>
  <si>
    <t>002415</t>
  </si>
  <si>
    <t>TENS-1</t>
  </si>
  <si>
    <t>865690</t>
  </si>
  <si>
    <t>9907237</t>
  </si>
  <si>
    <t>TMA-3BASIC</t>
  </si>
  <si>
    <t>021407802</t>
  </si>
  <si>
    <t>021407818</t>
  </si>
  <si>
    <t>TM-SZ</t>
  </si>
  <si>
    <t>0602</t>
  </si>
  <si>
    <t>0196</t>
  </si>
  <si>
    <t>0193</t>
  </si>
  <si>
    <t>0192</t>
  </si>
  <si>
    <t>0195</t>
  </si>
  <si>
    <t>1971</t>
  </si>
  <si>
    <t>0215</t>
  </si>
  <si>
    <t>0754</t>
  </si>
  <si>
    <t>1340</t>
  </si>
  <si>
    <t>1945</t>
  </si>
  <si>
    <t>zegarowy</t>
  </si>
  <si>
    <t>088107925</t>
  </si>
  <si>
    <t>9907558</t>
  </si>
  <si>
    <t>9905561</t>
  </si>
  <si>
    <t>9907225</t>
  </si>
  <si>
    <t>zegarowy INCO</t>
  </si>
  <si>
    <t>02803842</t>
  </si>
  <si>
    <t>97100050</t>
  </si>
  <si>
    <t>97100148</t>
  </si>
  <si>
    <t>98050020</t>
  </si>
  <si>
    <t>97020712</t>
  </si>
  <si>
    <t>97110160</t>
  </si>
  <si>
    <t>Przegląd zgodny z wymaganiami producenta obejmujący min. kontrolę zużycia części i wyposażenia, sprawdzenie poprawności ogólnego funkcjonowania aparatu, kalibrację i testy kontrolne, sprawdzenie zgodności parametrów funkcjonalnych urządzenia z deklarowanymi przez producenta, sprawdzenie poprawności działania zgodnie z normami bezpieczeństwa zalecanymi przez producenta, konserwację zgodnie z zaleceniami producenta. Koszt przeglądu obejmuje koszty dojazdu.</t>
  </si>
  <si>
    <t>Sparq</t>
  </si>
  <si>
    <t>583153BU2</t>
  </si>
  <si>
    <t>Mammotome Revolve</t>
  </si>
  <si>
    <t>MSCM1001373</t>
  </si>
  <si>
    <t>Image1 S</t>
  </si>
  <si>
    <t>XS01524</t>
  </si>
  <si>
    <t>Zestawy endoskopowe Karl Storz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</si>
  <si>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Wykonawca w ramach przeglądu zobowiązuje się do przygotowania bieżących zaleceń eksploatacyjnych związanych ze stanem aparatów, instrumentów oraz ich dalszym użytkowaniem. Wykonawca zobowiązuje się do wykonania ekspertyz technicznych związanych z wykrytymi usterkami oraz kosztorysu naprawy. Koszt przeglądu obejmuje koszty dojazdu.</t>
  </si>
  <si>
    <t>Przegląd zgodny z wymaganiami producenta obejmujący min. czyszczenie, sprawdzenie bezpieczeństwa mechanicznego i elektrycznego, kontrolę zużycia części i wyposażenia, sprawdzenie poprawności ogólnego funkcjonowania aparatu wraz z instrumentami,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Wykonawca w ramach przeglądu zobowiązuje się do przygotowania bieżących zaleceń eksploatacyjnych związanych ze stanem aparatu, instrumentów oraz ich dalszym użytkowaniem. Wykonawca zobowiązuje się do wykonania ekspertyz technicznych związanych z wykrytymi usterkami oraz kosztorysu naprawy. Koszt przeglądu obejmuje koszty dojazdu.</t>
  </si>
  <si>
    <t>Detektor promieniowania gamma</t>
  </si>
  <si>
    <t>Wprobe LAP</t>
  </si>
  <si>
    <t>Generator do termoablacji</t>
  </si>
  <si>
    <t>Solero MTA</t>
  </si>
  <si>
    <t>QBY0002479</t>
  </si>
  <si>
    <t>Przegląd zostanie udokumentowany kartą pracy/raportem serwisowym, oraz wpisem do paszportu technicznego. Aparat zostanie oznakowany nalepką z terminem wykonania kolejnego przeglądu. Koszt przeglądu obejmuje koszty dojazdu lub wysyłki. W przypadku wysyłki Wykonawca ponosi pełną odpowiedzialność za przewożony sprzęt.</t>
  </si>
  <si>
    <t>Performer hipertermii</t>
  </si>
  <si>
    <t>Performer HT</t>
  </si>
  <si>
    <t>System obrazowania VS3 Iridium</t>
  </si>
  <si>
    <t>VS3 Iridium</t>
  </si>
  <si>
    <t>353-0426</t>
  </si>
  <si>
    <t>Robotyczny pozycjoner optyki</t>
  </si>
  <si>
    <t>Endocontrol Viky</t>
  </si>
  <si>
    <t>CX0807-17080</t>
  </si>
  <si>
    <t>Kardiostymulator zewnętrzny</t>
  </si>
  <si>
    <t>MIP-801</t>
  </si>
  <si>
    <r>
      <t xml:space="preserve"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producenta. </t>
    </r>
    <r>
      <rPr>
        <b/>
        <sz val="10"/>
        <rFont val="Arial CE"/>
        <charset val="238"/>
      </rPr>
      <t>Koszt przeglądu obejmuje koszty dojazdu.</t>
    </r>
  </si>
  <si>
    <t>Przegląd zostanie udokumentowany kartą pracy/raportem serwisowym, oraz wpisem do paszportu technicznego. Aparat zostanie oznakowany nalepką z terminem wykonania kolejnego przeglądu.</t>
  </si>
  <si>
    <t>Inkubator, wirówka Bio-Rad</t>
  </si>
  <si>
    <t>37 SI</t>
  </si>
  <si>
    <t>12 SII</t>
  </si>
  <si>
    <t>2003346</t>
  </si>
  <si>
    <t>2003614</t>
  </si>
  <si>
    <t>Termocyklery PCR firmy Termo Scientific</t>
  </si>
  <si>
    <t>Veriti 96-Well</t>
  </si>
  <si>
    <t>2990236012</t>
  </si>
  <si>
    <t>2990236211</t>
  </si>
  <si>
    <t>2990236209</t>
  </si>
  <si>
    <t>2990236212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</si>
  <si>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aparatu z deklarowanymi przez producenta, sprawdzenie poprawności działania zgodnie z normami bezpieczeństwa zalecanymi przez producenta, konserwację zgodnie z zaleceniami producenta. Przegląd obejmuje min. wymianę zestawu serwisowego wymienionego w instrukcji obsługi. Koszt przeglądu obejmuje koszty dojazdu.</t>
  </si>
  <si>
    <t>Stół operacyjny Saturn Select</t>
  </si>
  <si>
    <t>Saturn Select K</t>
  </si>
  <si>
    <t>Lampy operacyjne</t>
  </si>
  <si>
    <t>Mach LED 5 SC</t>
  </si>
  <si>
    <t>Chromophare D650plus</t>
  </si>
  <si>
    <t>11/03663 11/09154</t>
  </si>
  <si>
    <t>Mach M3</t>
  </si>
  <si>
    <t>05/0723</t>
  </si>
  <si>
    <t>US61310230</t>
  </si>
  <si>
    <t>Aparat do znieczulania Mindray</t>
  </si>
  <si>
    <t>Multix Fusion Digital</t>
  </si>
  <si>
    <t>Luminos dRF Max</t>
  </si>
  <si>
    <t>Przeglądy zgodne z wymaganiami producenta obejmujące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wymianę żarówki w aparacie Mobilett XP, testy bezpieczeństwa elektrycznego. Koszt przeglądów obejmuje koszty dojazdu.</t>
  </si>
  <si>
    <t>Urządzenia do biopsji mammotomicznej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</si>
  <si>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urządzenia z deklarowanymi przez producenta, sprawdzenie poprawności działania zgodnie z normami bezpieczeństwa zalecanymi przez producenta, konserwację zgodnie z zaleceniami producenta, testy bezpieczeństwa elektrycznego, przygotowanie szczegółowego protokołu z przeglądu zawierającego wyniki pomiarów.</t>
  </si>
  <si>
    <t>System transportu pacjenta</t>
  </si>
  <si>
    <t>Zephyr ZTG-4</t>
  </si>
  <si>
    <t>Przegląd zgodny z wymaganiami producenta obejmujący min. czyszczenie,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Koszt przeglądu obejmuje koszty dojazdu.</t>
  </si>
  <si>
    <t>TAK</t>
  </si>
  <si>
    <t>Kriostat LEICA CM1900</t>
  </si>
  <si>
    <t>Mikrotom LEICA RM2135</t>
  </si>
  <si>
    <t>Mikrotom LEICA SM2000R</t>
  </si>
  <si>
    <t>Mikrotom HM450</t>
  </si>
  <si>
    <t>Mikrotom HM 340E + STS</t>
  </si>
  <si>
    <t>Procesor tkankowy Excelsior</t>
  </si>
  <si>
    <t>EX24250707</t>
  </si>
  <si>
    <t>Barwiarka Varistain Gemini</t>
  </si>
  <si>
    <t>PH1059E0706</t>
  </si>
  <si>
    <t>Zaklejarka GCS 600</t>
  </si>
  <si>
    <t>Mammograf, kardiomonitor GE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</si>
  <si>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czujników tlenu we wszystkich respiratorach. Koszt przeglądu obejmuje koszty dojazdu.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</si>
  <si>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wymianę zestawu serwisowego. Koszt przeglądu obejmuje koszty dojazdu.</t>
  </si>
  <si>
    <t>Myjnia dezynfektor do kaczek i basenów Franke</t>
  </si>
  <si>
    <t>DEKO 190</t>
  </si>
  <si>
    <t>0847V180.PL01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</si>
  <si>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min. wymianę elementów – filter formaldehyde – 2 szt., filter vapour, akumulator 12V/12Ah – 2 szt. do procesora Excelsior, filter vapour, akumulator 12V/12Ah do barwiarki Gemini. Koszt przeglądu obejmuje koszty dojazdu.</t>
  </si>
  <si>
    <t>BSD-500</t>
  </si>
  <si>
    <t>080922-033</t>
  </si>
  <si>
    <t>BF-1T160</t>
  </si>
  <si>
    <t>GIF-Q180</t>
  </si>
  <si>
    <t>URF-P5</t>
  </si>
  <si>
    <t>W900431</t>
  </si>
  <si>
    <t>Mini ETD-2 GA</t>
  </si>
  <si>
    <t>Mini ETD</t>
  </si>
  <si>
    <t>Ceralas D50</t>
  </si>
  <si>
    <t>2416-G</t>
  </si>
  <si>
    <t>Przegląd zgodny z wymaganiami producenta obejmujący min. czyszczenie, kontrolę zużycia części i wyposażenia, sprawdzenie poprawności ogólnego funkcjonowania aparatu, kalibrację i testy kontrolne, sprawdzenie zgodności parametrów funkcjonalnych urządzenia z deklarowanymi przez producenta, sprawdzenie poprawności działania zgodnie z normami bezpieczeństwa zalecanymi przez producenta, konserwację zgodnie z zaleceniami producenta, testy bezpieczeństwa elektrycznego. Koszt przeglądu obejmuje koszty dojazdu.</t>
  </si>
  <si>
    <t>Optistar Elite</t>
  </si>
  <si>
    <t>CI0610D008</t>
  </si>
  <si>
    <t>BF-XT160</t>
  </si>
  <si>
    <t>CYF-VHA</t>
  </si>
  <si>
    <t>GIF-H190</t>
  </si>
  <si>
    <t>2014</t>
  </si>
  <si>
    <t>APC2</t>
  </si>
  <si>
    <t>11383082</t>
  </si>
  <si>
    <t>11379886</t>
  </si>
  <si>
    <t>Flex Focus 800</t>
  </si>
  <si>
    <t>040413</t>
  </si>
  <si>
    <t>Mikrotom HM 340E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</si>
  <si>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urządzenia z deklarowanymi przez producenta, sprawdzenie poprawności działania zgodnie z normami bezpieczeństwa zalecanymi przez producenta, konserwację zgodnie z zaleceniami producenta, testy bezpieczeństwa elektrycznego. Koszt przeglądu obejmuje koszty dojazdu.</t>
  </si>
  <si>
    <t>Primus + monitor Infinity Delta</t>
  </si>
  <si>
    <t>ASAK-0172</t>
  </si>
  <si>
    <t>Falcon SE</t>
  </si>
  <si>
    <t>ES 300</t>
  </si>
  <si>
    <t>FORCE EZ</t>
  </si>
  <si>
    <t>F0I4536B</t>
  </si>
  <si>
    <t>FORCE EZ-8C</t>
  </si>
  <si>
    <t>F7L10768B</t>
  </si>
  <si>
    <t>Sprzęt monitorowania parametrów życiowych</t>
  </si>
  <si>
    <t>Przegląd serwisowy zgodny z wymaganiami producenta aparatu zawierający min. czyszczenie wnętrza aparatu, wentylatorów, filtrów i trackball’a, sprawdzenie i poprawę styków elektrycznych, sprawdzenie urządzeń peryferyjnych, testy głowic, konserwację zgodnie z zaleceniami producenta, testy bezpieczeństwa elektrycznego. Koszt przeglądu obejmuje koszty dojazdu.</t>
  </si>
  <si>
    <t>Falcon 2101 EXL</t>
  </si>
  <si>
    <t>Hawk 2102</t>
  </si>
  <si>
    <t>Vela</t>
  </si>
  <si>
    <t>AGT01324</t>
  </si>
  <si>
    <t>Poszczególne przeglądy zostaną udokumentowane kartą pracy/raportem serwisowym. Aparaty zostaną oznakowane nalepką z terminem wykonania kolejnego przeglądu.</t>
  </si>
  <si>
    <r>
      <t xml:space="preserve"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</t>
    </r>
    <r>
      <rPr>
        <b/>
        <sz val="10"/>
        <rFont val="Arial CE"/>
        <charset val="238"/>
      </rPr>
      <t>Koszt przeglądu obejmuje koszty dojazdu.</t>
    </r>
  </si>
  <si>
    <t>Logiq 7 R75X</t>
  </si>
  <si>
    <t>36207YU9</t>
  </si>
  <si>
    <t>39043YU5</t>
  </si>
  <si>
    <t>Logiq Book XP</t>
  </si>
  <si>
    <t>49446WX8</t>
  </si>
  <si>
    <t>W-77100622</t>
  </si>
  <si>
    <t>Poszczególne przeglądy zostaną udokumentowane kartą pracy/raportem serwisowym, oraz wpisem do paszportu technicznego, a wyniki testu bezpieczeństwa elektrycznego na oddzielnym protokole. Aparaty zostaną oznakowane nalepką z terminem wykonania kolejnego przeglądu.</t>
  </si>
  <si>
    <t>BX5C-0315AIOQ</t>
  </si>
  <si>
    <t>BX5C-0316FIQQ</t>
  </si>
  <si>
    <t>BX5C-0317FIOQ</t>
  </si>
  <si>
    <t>Cardio-Aid 200-B</t>
  </si>
  <si>
    <t>CI0312B517</t>
  </si>
  <si>
    <t>Poszczególne przeglądy zostaną udokumentowane kartą pracy/raportem serwisowym, oraz wpisem do paszportu technicznego, a wyniki testu bezpieczeństwa elektrycznego na oddzielnym protokole. Aparaty zostaną oznakowane nalepką z terminem wykonania kolejnego przeglądu. Koszt przeglądu obejmuje koszty dojazdu lub wysyłki. W przypadku wysyłki Wykonawca ponosi pełną odpowiedzialność za przewożony sprzęt. Na czas przeglądu Mammotome Revolve należy zapewnić aparat zastępczy wraz z akcesoriami.</t>
  </si>
  <si>
    <t>Nr 06 seria 44/03</t>
  </si>
  <si>
    <t>Łóżka intensywnej opieki medycznej</t>
  </si>
  <si>
    <t>Poszczególne przeglądy zostaną udokumentowane kartą pracy/raportem serwisowym, oraz wpisem do paszportu technicznego, a wyniki testu bezpieczeństwa elektrycznego na oddzielnym protokole. Łóżka zostaną oznakowane nalepką z terminem wykonania kolejnego przeglądu. Koszt przeglądu obejmuje koszty dojazdu.</t>
  </si>
  <si>
    <t>Przegląd zgodny z wymaganiami producenta obejmujący min. czyszczenie, sprawdzenie bezpieczeństwa mechanicznego i elektrycznego, kontrolę zużycia części i wyposażenia, sprawdzenie poprawności ogólnego funkcjonowania łóżek, sprawdzenie zgodności parametrów funkcjonalnych łóżek z deklarowanymi przez producenta, sprawdzenie poprawności działania zgodnie z normami bezpieczeństwa zalecanymi przez producenta, konserwację zgodnie z zaleceniami producenta, testy bezpieczeństwa elektrycznego.</t>
  </si>
  <si>
    <t>668486BU4</t>
  </si>
  <si>
    <t>Aparat do znieczulania Taema</t>
  </si>
  <si>
    <t>Clarys 2000</t>
  </si>
  <si>
    <t>C1587</t>
  </si>
  <si>
    <t>Przegląd zostanie udokumentowany kartą pracy/raportem serwisowym, oraz wpisem do paszportu technicznego, a wyniki testu bezpieczeństwa elektrycznego na oddzielnym protokole. Aparat zostanie oznakowany nalepką z terminem wykonania kolejnego przeglądu.</t>
  </si>
  <si>
    <t>Stacja do zatapiania tkanek Histostar</t>
  </si>
  <si>
    <t>HS3139A1511</t>
  </si>
  <si>
    <t>CI0107B519</t>
  </si>
  <si>
    <t>T4C40440EX</t>
  </si>
  <si>
    <t>Force Argon II-8</t>
  </si>
  <si>
    <t>G4D2949UX</t>
  </si>
  <si>
    <t>M Series</t>
  </si>
  <si>
    <t>T07B87735</t>
  </si>
  <si>
    <t>Sterrad 100NX</t>
  </si>
  <si>
    <t>Selectomat PL 966-2H</t>
  </si>
  <si>
    <t>B110824</t>
  </si>
  <si>
    <t>B110825</t>
  </si>
  <si>
    <t>VIO 300D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</si>
  <si>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wymianę części przewidzianych przez producenta do wymiany podczas przeglądu okresowego. Koszt przeglądu obejmuje koszty dojazdu.</t>
  </si>
  <si>
    <t>C-[MaxPro]3-130</t>
  </si>
  <si>
    <t>Minifil</t>
  </si>
  <si>
    <t>29081/06</t>
  </si>
  <si>
    <t>Lamil Plus 10</t>
  </si>
  <si>
    <t>3153/06</t>
  </si>
  <si>
    <t>801-13-37</t>
  </si>
  <si>
    <t>3L15597</t>
  </si>
  <si>
    <t>CX-41</t>
  </si>
  <si>
    <t>OE29063</t>
  </si>
  <si>
    <t>OL33049</t>
  </si>
  <si>
    <t>VB 350K HUND</t>
  </si>
  <si>
    <t>Zeiss</t>
  </si>
  <si>
    <t>857956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</si>
  <si>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Koszt przeglądu obejmuje koszty dojazdu.</t>
  </si>
  <si>
    <t>Mobilett XP Hybrid</t>
  </si>
  <si>
    <t>MammoTest</t>
  </si>
  <si>
    <t>Senographe Essential</t>
  </si>
  <si>
    <t xml:space="preserve"> --</t>
  </si>
  <si>
    <t>Aparatura do histopatologii I</t>
  </si>
  <si>
    <t>Sprzęt endoskopowy Olympus</t>
  </si>
  <si>
    <t>Ziehm Vision RFD</t>
  </si>
  <si>
    <t>Przegląd zgodny z wymaganiami producenta obejmujący min. czyszczenie, sprawdzenie bezpieczeństwa mechanicznego i elektrycznego, kontrolę zużycia części i wyposażenia, sprawdzenie poprawności ogólnego funkcjonowania aparatu i jego gotowości do pracy, sprawdzenie, pomiary i korekta fizycznych parametrów ekspozycji, sprawdzenie i korekta geometrii wiązki promieniowania, kontrola jakości obrazów, oczyszczenie dróg chłodzenia i odprowadzania ciepła, smarowanie ruchomych części mechanicznych, konserwacja oprogramowania systemowego i aplikacyjnego, przygotowanie szczegółowego protokołu z przeglądu zawierającego wyniki pomiarów w odniesieniu do obowiązujących norm, wystawienie certyfikatu sprawności, testy bezpieczeństwa elektrycznego. Koszt przeglądu obejmuje koszty dojazdu.</t>
  </si>
  <si>
    <t>FD1800</t>
  </si>
  <si>
    <t>WAA053960</t>
  </si>
  <si>
    <t>CF-3C120727</t>
  </si>
  <si>
    <t>CF-3C120728</t>
  </si>
  <si>
    <t>CF-3C120729</t>
  </si>
  <si>
    <t>CF-3C120732</t>
  </si>
  <si>
    <t>CF-3C120734</t>
  </si>
  <si>
    <t>CF-3C120736</t>
  </si>
  <si>
    <t>CF-3C120737</t>
  </si>
  <si>
    <t>CF-3C120738</t>
  </si>
  <si>
    <t>CF-3C120739</t>
  </si>
  <si>
    <t>CF-3C120740</t>
  </si>
  <si>
    <t>CF-3C120741</t>
  </si>
  <si>
    <t>CF-47123547</t>
  </si>
  <si>
    <t>Centrala Intensywnego Nadzoru Hypervisor IV</t>
  </si>
  <si>
    <t>CZC3484LMD</t>
  </si>
  <si>
    <t>CZC41337LZ</t>
  </si>
  <si>
    <t>CZC41337M3</t>
  </si>
  <si>
    <t>EL-42012818</t>
  </si>
  <si>
    <t>EL-46014684</t>
  </si>
  <si>
    <t>Optivantage DH</t>
  </si>
  <si>
    <t>CI0312B562</t>
  </si>
  <si>
    <t>ASDJ-0110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</si>
  <si>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wymianę części (zestawy serwisowe PM) przewidzianych przez producenta do wymiany podczas przeglądu okresowego. Koszt przeglądu obejmuje koszty dojazdu.</t>
  </si>
  <si>
    <t>GammaFinder II</t>
  </si>
  <si>
    <t>040106</t>
  </si>
  <si>
    <t>020758</t>
  </si>
  <si>
    <t>Pulsoksymetr Spectro2</t>
  </si>
  <si>
    <t>Kapnograf Capnocheck II</t>
  </si>
  <si>
    <t>Kardiomonitor FX 2000P</t>
  </si>
  <si>
    <t>Kardiomonitor Enmove 1200</t>
  </si>
  <si>
    <t>Myjnia G7824</t>
  </si>
  <si>
    <t>Suszarka KSU-66150</t>
  </si>
  <si>
    <t>Zgrzewarka Steripack 301</t>
  </si>
  <si>
    <t>Myjnia G7836</t>
  </si>
  <si>
    <t>FACSCalibur</t>
  </si>
  <si>
    <t>Aparat do hipertermii</t>
  </si>
  <si>
    <t>Aparaty EKG</t>
  </si>
  <si>
    <t>Aparatura do histopatologii II</t>
  </si>
  <si>
    <t>Urządzenia Maquet</t>
  </si>
  <si>
    <t>Laser do udrażniania światła oskrzeli</t>
  </si>
  <si>
    <t>Aparaty do znieczulania Draeger</t>
  </si>
  <si>
    <t>Aparaty do znieczulania Anmedic</t>
  </si>
  <si>
    <t>Aparaty elektrochirurgiczne Emed</t>
  </si>
  <si>
    <t>Aparaty elektrochirurgiczne Valleylab</t>
  </si>
  <si>
    <t>Aparaty USG</t>
  </si>
  <si>
    <t>Respirator Viasys</t>
  </si>
  <si>
    <t>Detektory promieniowania gamma</t>
  </si>
  <si>
    <t>Zestawy laparoskopowe Aesculap</t>
  </si>
  <si>
    <t>Mikrotomy</t>
  </si>
  <si>
    <t>Urządzenia Mindray</t>
  </si>
  <si>
    <t>Monitor PM9000</t>
  </si>
  <si>
    <t>Monitor BeneView T8 z modułem BeneView T1</t>
  </si>
  <si>
    <t>Monitor BeneView T8</t>
  </si>
  <si>
    <t>Defibrylator BeneHeart D3</t>
  </si>
  <si>
    <t>Aparat do znieczulania A7 (+ monitor BeneView T8)</t>
  </si>
  <si>
    <t>Defibrylatory</t>
  </si>
  <si>
    <t>Pompy infuzyjne Braun</t>
  </si>
  <si>
    <t>Sterylizator plazmowy</t>
  </si>
  <si>
    <t>Urządzenia sterylizacji parowej</t>
  </si>
  <si>
    <t>Urządzenia Centralnej Sterylizatorni</t>
  </si>
  <si>
    <t>Urządzenia ZdAJ</t>
  </si>
  <si>
    <t>Cytometr przepływowy</t>
  </si>
  <si>
    <t>Aparat do suchego rozmrażania osocza</t>
  </si>
  <si>
    <t>Myjnie-dezynfektory do kaczek i basenów Steelco</t>
  </si>
  <si>
    <t>Systemy do planowania leczenia</t>
  </si>
  <si>
    <t>Drukarki do klisz</t>
  </si>
  <si>
    <t>Aparat rtg Ziehm</t>
  </si>
  <si>
    <t>0490</t>
  </si>
  <si>
    <t>0633</t>
  </si>
  <si>
    <t>0274</t>
  </si>
  <si>
    <t>64/06</t>
  </si>
  <si>
    <t>Sprzęt endoskopowy Pentax</t>
  </si>
  <si>
    <t>EPK-i</t>
  </si>
  <si>
    <t>EF012025</t>
  </si>
  <si>
    <t>EB-1975K</t>
  </si>
  <si>
    <t>Aparaty rtg Siemens</t>
  </si>
  <si>
    <t>GI20230</t>
  </si>
  <si>
    <t>EG-2990i</t>
  </si>
  <si>
    <t>EC-3890Fi2</t>
  </si>
  <si>
    <t>A118405</t>
  </si>
  <si>
    <t>A112057</t>
  </si>
  <si>
    <t>Respiratory Covidien</t>
  </si>
  <si>
    <t>Morcelator Richard Wolf</t>
  </si>
  <si>
    <t>Nóż harmoniczny</t>
  </si>
  <si>
    <t>Aspirator ultradźwiękowy</t>
  </si>
  <si>
    <t>Kardiomonitor do pomiarów hemodynamicznych serca</t>
  </si>
  <si>
    <t>Łóżka szpitalne elektryczne</t>
  </si>
  <si>
    <t>Komory manipulacyjne</t>
  </si>
  <si>
    <t>Nr 02 seria 57/06</t>
  </si>
  <si>
    <t>Nr 01 seria 57/06</t>
  </si>
  <si>
    <t>Nr 03 seria 57/06</t>
  </si>
  <si>
    <t>Drzwi osłonowe obrotowe</t>
  </si>
  <si>
    <t>NMC 50 DSI</t>
  </si>
  <si>
    <t>E0669</t>
  </si>
  <si>
    <t>Przegląd zgodny z wymaganiami producenta obejmujący min. czyszczenie wnętrza aparatu, czyszczenie i optymalizacja zestrojenia optyki,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wymiana zestawu "PM Kit", testy bezpieczeństwa elektrycznego. Koszt przeglądu obejmuje koszty dojazdu.</t>
  </si>
  <si>
    <t>Sahara III</t>
  </si>
  <si>
    <t>BP 100 HA</t>
  </si>
  <si>
    <t>Myjnia ultradźwiękowa</t>
  </si>
  <si>
    <t>Ultramatic 550</t>
  </si>
  <si>
    <t>System EcoSoft</t>
  </si>
  <si>
    <t>Kardiomonitor Precess 3160</t>
  </si>
  <si>
    <t>US10500233</t>
  </si>
  <si>
    <t>Aphastar Pro</t>
  </si>
  <si>
    <t>00256</t>
  </si>
  <si>
    <t>00257</t>
  </si>
  <si>
    <t>00268</t>
  </si>
  <si>
    <t>Volista 600/400</t>
  </si>
  <si>
    <t>AR029000/ AR028047</t>
  </si>
  <si>
    <t>AR025074/ AR025065</t>
  </si>
  <si>
    <t>Modutec MM 6-6 BP</t>
  </si>
  <si>
    <t>Modutec HM 9-9 BP</t>
  </si>
  <si>
    <t>SUQ822810</t>
  </si>
  <si>
    <t>SUQ822809</t>
  </si>
  <si>
    <t>SUQ822811</t>
  </si>
  <si>
    <t>SUQ822812</t>
  </si>
  <si>
    <t>4450</t>
  </si>
  <si>
    <t>4451</t>
  </si>
  <si>
    <t>System do radiografii próbek biopsyjnych</t>
  </si>
  <si>
    <t>Xpert 20</t>
  </si>
  <si>
    <t>1520-075-405</t>
  </si>
  <si>
    <t>Arietta 850</t>
  </si>
  <si>
    <t>Pulsoksymetr PM-60</t>
  </si>
  <si>
    <t>CR-9A210658</t>
  </si>
  <si>
    <t>CR-97206680</t>
  </si>
  <si>
    <t>Pulsoksymetr C101A2</t>
  </si>
  <si>
    <t>C101A2202005261083</t>
  </si>
  <si>
    <t>C101A22022005260789</t>
  </si>
  <si>
    <t>C101A22022005260894</t>
  </si>
  <si>
    <t>Kardiomonitor Biolight Q7</t>
  </si>
  <si>
    <t>Q71E010916</t>
  </si>
  <si>
    <t>Przegląd zgodny z wymaganiami producenta obejmujący min. czyszczenie, sprawdzenie bezpieczeństwa mechanicznego i elektrycznego, oczyszczenie dróg chłodzenia, smarowanie ruchomych części mechanicznych, sprawdzenie i porządkowanie oprogramowania systemowego,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sprawdzenie bezpieczeństwa elektrycznego w niezbędnym zakresie. Koszt przeglądu obejmuje koszty dojazdu.</t>
  </si>
  <si>
    <t>Myjnia-dezynfektor do kaczek i basenów Getinge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</si>
  <si>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aparatu z deklarowanymi przez producenta, sprawdzenie poprawności działania zgodnie z normami bezpieczeństwa zalecanymi przez producenta, konserwację zgodnie z zaleceniami producenta, testy bezpieczeństwa elektrycznego. Przegląd obejmuje min. wymianę czujnika tlenu. Koszt przeglądu obejmuje koszty dojazdu.</t>
  </si>
  <si>
    <t>Bactec FX40</t>
  </si>
  <si>
    <t>FF2639</t>
  </si>
  <si>
    <t>FF2640</t>
  </si>
  <si>
    <t>Aparat do izolacji kwasów nukleinowych</t>
  </si>
  <si>
    <t>Maxwell RSC System</t>
  </si>
  <si>
    <t>Komory laminarne II</t>
  </si>
  <si>
    <t>Wstrzykiwacze kontrastu</t>
  </si>
  <si>
    <t>Pulsoksymetr YK-81CEU</t>
  </si>
  <si>
    <t>A005510R0</t>
  </si>
  <si>
    <t>Przegląd zgodny z wymaganiami producenta obejmujący min. czyszczenie, sprawdzenie bezpieczeństwa mechanicznego i elektrycznego, kontrolę zużycia części i wyposażenia, sprawdzenie poprawności ogólnego funkcjonowania urządzeń,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min. wymianę elementów – obudowa pompy DOS (60/30) do myjni G7824 - 1 szt., obudowa pompy DOS (30/10) do myjni G7824 - 1 szt., filtr zgrubny i HEPA do KSU-66150, rolka dociskowa, taśma barwiąca, taśma teflonowa grzałek i prowadnic, paski zębate do Steripack 301, uszczelki pod korek wlewu wody do Elmasteam - 3 szt. Koszt przeglądu obejmuje koszty dojazdu.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</si>
  <si>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drzwi może być wykonany po godz. 18 od poniedziałku do piątku oraz w soboty. Koszt przeglądu obejmuje koszty dojazdu.</t>
  </si>
  <si>
    <t>Respiratory transportowe</t>
  </si>
  <si>
    <t>Medumat Easy CPR</t>
  </si>
  <si>
    <t>3850</t>
  </si>
  <si>
    <t>3957</t>
  </si>
  <si>
    <t>3956</t>
  </si>
  <si>
    <t>3979</t>
  </si>
  <si>
    <t>3954</t>
  </si>
  <si>
    <t>BSC31A1810519A</t>
  </si>
  <si>
    <t>BSC31A1810520A</t>
  </si>
  <si>
    <t>Herasafe KS 12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</si>
  <si>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Pomiary kontrolne prędkości i laminarności przepływu. Przegląd obejmuje wymianę filtra kurzowego pod blatem roboczym  oraz wykonanie niezbędnych pomiarów i kalibracji ustawień komory. Sprawdzenie integralności filtrów metodą aerozolową z użyciem laserowego miernika cząstek, sprawdzenie i kalibrację przepływu laminarnego zgodnie z normą PN-EN 12469. Koszt przeglądu obejmuje koszty dojazdu.</t>
  </si>
  <si>
    <t>Komory laminarne III</t>
  </si>
  <si>
    <t>BioBase 1123BBC86</t>
  </si>
  <si>
    <t>Heraus Megafuge 40R</t>
  </si>
  <si>
    <t>41255382</t>
  </si>
  <si>
    <t>Incucel 111</t>
  </si>
  <si>
    <t>Komory laminarne I</t>
  </si>
  <si>
    <t>Przegląd zgodny z wymaganiami producenta obejmujący min. czyszczenie, sprawdzenie bezpieczeństwa mechanicznego i elektrycznego, kontrolę zużycia części i wyposażenia, sprawdzenie poprawności ogólnego funkcjonowania aparatów, kalibrację i testy kontrolne, sprawdzenie zgodności parametrów funkcjonalnych urządzeń z deklarowanymi przez producenta, sprawdzenie poprawności działania zgodnie z normami bezpieczeństwa zalecanymi przez producenta, konserwację zgodnie z zaleceniami producenta, wymiana zestawu serwisowego, testy bezpieczeństwa elektrycznego. Koszt przeglądu obejmuje koszty dojazdu.</t>
  </si>
  <si>
    <t>Urządzenia laboratoryjne Becton Dickinson</t>
  </si>
  <si>
    <t>Komora laminarna IV</t>
  </si>
  <si>
    <t>2022-06-30, drugi po 6 miesiącach</t>
  </si>
  <si>
    <t>Infusomat Space</t>
  </si>
  <si>
    <t>Perfusor Space</t>
  </si>
  <si>
    <t>386836</t>
  </si>
  <si>
    <t>386853</t>
  </si>
  <si>
    <t>387003</t>
  </si>
  <si>
    <t>387025</t>
  </si>
  <si>
    <t>387035</t>
  </si>
  <si>
    <t>300117</t>
  </si>
  <si>
    <t>386936</t>
  </si>
  <si>
    <t>387027</t>
  </si>
  <si>
    <t>246763</t>
  </si>
  <si>
    <t>51128</t>
  </si>
  <si>
    <t>29725</t>
  </si>
  <si>
    <t>300196</t>
  </si>
  <si>
    <t>300203</t>
  </si>
  <si>
    <t>129769</t>
  </si>
  <si>
    <t>300240</t>
  </si>
  <si>
    <t>300241</t>
  </si>
  <si>
    <t>300183</t>
  </si>
  <si>
    <t>SpaceStation MRI</t>
  </si>
  <si>
    <t>MIMSPA110207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</si>
  <si>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wymianę zasilaczy w 6 pompach Space (nr ser.: 137158, 155545, 246667, 246705, 246757, 246693). Koszt przeglądu obejmuje koszty dojazdu.</t>
  </si>
  <si>
    <t>2022-07-17, drugi po 6 miesiącach</t>
  </si>
  <si>
    <t>2022-07-18, drugi po 6 miesiącach</t>
  </si>
  <si>
    <t>2022-08-22, drugi po 6 miesiącach</t>
  </si>
  <si>
    <t>2022-08-28, drugi po 6 miesiącach</t>
  </si>
  <si>
    <t xml:space="preserve">2022-08-18, drugi po 6 miesiącach </t>
  </si>
  <si>
    <t>Centrifuge 5702R</t>
  </si>
  <si>
    <t>5703CP912534</t>
  </si>
  <si>
    <t>Wirówki laboratoryjne</t>
  </si>
  <si>
    <t xml:space="preserve"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W ramach przeglądu wykonawca zapewni aparat zastępczy na czs przegladu. Koszty wysyłki aparatu po stronie wykonawcy. </t>
  </si>
  <si>
    <t>GFL 6483</t>
  </si>
  <si>
    <t>166169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</si>
  <si>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oraz walidacja komory laminarnej zgodnie z obowiązującą normą: PN-EN 12469:2000.
Usługa ta obejmuje:
- Pomiar prędkości przepływu powietrza wlotowego i strumienia laminarnego zgodnie z załącznikiem G normy PL-EN 12469:2000.
- Pomiar szczelności i integralności filtrów (filtra głównego i wylotowego) zgodnie z załącznikiem D normy PL-EN 12469: 2000 po przez wykonanie testu aerozolowego.
- Sprawdzenie poprawnego działania funkcji komory (napięcie w gniazdach, sprawdzenie funkcji panelu sterowania, kontrola alarmów, ewentualnie temperatura blatu grzewczego).
- Wydanie raportu zgodnego z wymogiem normy, potwierdzającego wykonanie testów wraz z wynikami dokonanych pomiarów.
- Wydanie certyfikatu potwierdzającego prawidłowe działanie komory oraz szczegóły wykonanego przeglądu. Koszt przeglądu obejmuje koszty dojazdu.</t>
  </si>
  <si>
    <t>Numer postępowania:</t>
  </si>
  <si>
    <t>ZP-271-7/22</t>
  </si>
  <si>
    <t>Nazwa postępowania:</t>
  </si>
  <si>
    <t>Usługa okresowych przeglądów technicznych aparatury, sprzętu medycznego i laboratoryjnego</t>
  </si>
  <si>
    <t>Nazwa Wykonawcy:</t>
  </si>
  <si>
    <t>Ulica:</t>
  </si>
  <si>
    <t>Nr domu:</t>
  </si>
  <si>
    <t>Nr lokalu:</t>
  </si>
  <si>
    <t>Miejscowość:</t>
  </si>
  <si>
    <t>Kod pocztowy:</t>
  </si>
  <si>
    <t>Województwo:</t>
  </si>
  <si>
    <t>NIP:</t>
  </si>
  <si>
    <t>REGON:</t>
  </si>
  <si>
    <t>KRS (jeśli dotyczy):</t>
  </si>
  <si>
    <t>BDO (jeśli dotyczy):</t>
  </si>
  <si>
    <t>Nazwa banku oraz numer rachunku bankowego do realizacji przedmiotu umowy:</t>
  </si>
  <si>
    <t>Nazwa banku:</t>
  </si>
  <si>
    <t>Numer rachunku:</t>
  </si>
  <si>
    <t xml:space="preserve">Wykonawca, którego reprezentuję/reprezentujemy jest: 
□ mikroprzedsiębiorstwem 
□ małym przedsiębiorstwem 
□ średnim przedsiębiorstwem 
□ jednoosobową działalnością gospodarczą 
□ osobą fizyczną nieprowadzącą działalności gospodarczej 
□ innym podmiotem </t>
  </si>
  <si>
    <t xml:space="preserve">Jeśli wybór oferty będzie prowadzić do powstania u Zamawiającego obowiązku podatkowego zgodnie z przepisami o podatku od towarów i usług Wykonawca winien poinformować o tym Zamawiającego np. poprzez wpisanie w kolumnie "Kwota VAT" wyrażenia "po stronie Zamawiającego" lub inny tekst jednoznacznie wskazujący, że obowiązek podatkowy będzie po stronie Zamawiającego.  							</t>
  </si>
  <si>
    <t>Zamierzam  powierzyć część zamówienia Podwykonawcy: nazwa lub firma Podwykonawcy, część zamówienia, która zostanie powierzona podwykonawcy* (*niepotrzebne skreślić)…………………………. ……………………………………………………………………………………………………….. / 
Nie zamierzam powierzyć część zamówienia Podwykonawcy* (*niepotrzebne skreślić).</t>
  </si>
  <si>
    <t>Oświadczam, że wypełniłem obowiązki informacyjne przewidziane w art. 13 lub art. 14 RODO (rozporządzenie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04.05.2016, str. 1) wobec osób fizycznych, od których dane osobowe bezpośrednio lub pośrednio pozyskałem w celu ubiegania się o udzielenie zamówienia publicznego w niniejszym postępowaniu.*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</si>
  <si>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Szczegółowy podział części:</t>
  </si>
  <si>
    <t>Szczegółowy podział część:</t>
  </si>
  <si>
    <t xml:space="preserve"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Pomiary kontrolne prędkości i laminarności przepływu oraz klas czystości powietrza w przestrzni roboczej komory/nawiewu i w pomieszczeniu, sprawdzenie klasy czystości powietrza w pomieszczeniu, w którym pracuje komora. Koszt przeglądu obejmuje koszty dojazdu. Wykonawca w zakresie komory o numerze seryjnym 2013000249 posiada wszystkie wymagane kody producenta. </t>
  </si>
  <si>
    <r>
      <t xml:space="preserve">2022-09-25, </t>
    </r>
    <r>
      <rPr>
        <b/>
        <strike/>
        <sz val="10"/>
        <color rgb="FFFF0000"/>
        <rFont val="Arial CE"/>
        <charset val="238"/>
      </rPr>
      <t>drugi po 6 miesiącach</t>
    </r>
  </si>
  <si>
    <r>
      <t xml:space="preserve">2022-07-21, </t>
    </r>
    <r>
      <rPr>
        <b/>
        <strike/>
        <sz val="10"/>
        <color rgb="FFFF0000"/>
        <rFont val="Arial CE"/>
        <charset val="238"/>
      </rPr>
      <t>drugi po 6 miesiącach</t>
    </r>
  </si>
  <si>
    <r>
      <rPr>
        <b/>
        <strike/>
        <sz val="10"/>
        <color rgb="FFFF0000"/>
        <rFont val="Arial CE"/>
        <charset val="238"/>
      </rPr>
      <t>Przeglądy zgodnie z wymaganiami producenta obejmujące min. czyszczenie,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Przeglądy wykonywane przy użyciu zalecanych przez producenta urządzeń kontrolnopomiarowych posiadających aktualne świadectwa kalibracji/wzorcowania. Przeglądy obejmują min. wymianę elementów – zestaw 2-letni Primus (1 szt.), zestaw 1-roczny Primus (2 szt.), filtr 37 mm - 3 szt, uszczelki (3 szt.), Lithium-ion battery (2 szt.) do monitorów Infinity Delta, moduł przewodowy Multimed 5 2,5 m (1 szt.), przewód EKG, 3-odpr, 2-pinowy, IEC1 (2 szt.), przedłużacz SpO2 Drager/Nellcor do Multimed 5 (1 szt.), czujnik SpO2 Drager na palec (1 szt.), czujnik SpO2 Masimo LNCS na palec z przedłużaczem, dren łączący NIPC do monitora Infinity (1 szt.), mankiet NIPC, rozmiar 23-33 cm (3 szt.), pułapka wodna (36 szt.). Koszt przeglądów obejmuje koszty dojazdu.</t>
    </r>
    <r>
      <rPr>
        <b/>
        <strike/>
        <sz val="10"/>
        <rFont val="Arial CE"/>
        <charset val="238"/>
      </rPr>
      <t xml:space="preserve">
</t>
    </r>
    <r>
      <rPr>
        <b/>
        <sz val="10"/>
        <rFont val="Arial CE"/>
        <charset val="238"/>
      </rPr>
      <t>Przeglądy zgodnie z wymaganiami producenta obejmujące min. czyszczenie,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Przeglądy wykonywane przy użyciu zalecanych przez producenta urządzeń kontrolnopomiarowych posiadających aktualne świadectwa kalibracji/wzorcowania. Przeglądy obejmują min. wymianę elementów – zestaw 2-letni i 2-letni zestaw oddechowy Primus (2 szt.), zestaw 1-roczny Primus (1 szt.), filtr 37 mm - 3 szt, uszczelki (3 szt.), W kardiomonitorach filtr (2 szt.), akumulator (2 szt.), moduł przewodowy Multimed 5 2,5 m (1 szt.), przewód EKG, 3-odpr, 2-pinowy, IEC1 (2 szt.), przedłużacz SpO2 Drager/Nellcor do Multimed 5 (1 szt.), czujnik SpO2 Drager na palec (1 szt.), czujnik SpO2 Masimo LNCS na palec z przedłużaczem, dren łączący NIPC do monitora Infinity (1 szt.), mankiet NIPC, rozmiar 23-33 cm (3 szt.), pułapka wodna (36 szt.). Koszt przeglądów obejmuje koszty dojazdu.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</si>
</sst>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  <numFmt numFmtId="166" formatCode="yyyy/mm/dd;@"/>
    <numFmt numFmtId="167" formatCode="d/mm/yyyy"/>
  </numFmts>
  <fonts count="28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sz val="8"/>
      <name val="Arial CE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u/>
      <sz val="10"/>
      <name val="Arial CE"/>
      <family val="2"/>
      <charset val="238"/>
    </font>
    <font>
      <b/>
      <strike/>
      <sz val="10"/>
      <name val="Arial CE"/>
      <charset val="238"/>
    </font>
    <font>
      <strike/>
      <sz val="10"/>
      <name val="Cambria"/>
      <family val="1"/>
      <charset val="238"/>
    </font>
    <font>
      <b/>
      <strike/>
      <sz val="10"/>
      <name val="Cambria"/>
      <family val="1"/>
      <charset val="238"/>
    </font>
    <font>
      <b/>
      <strike/>
      <sz val="10"/>
      <color rgb="FFFF0000"/>
      <name val="Arial CE"/>
      <charset val="238"/>
    </font>
  </fonts>
  <fills count="1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36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9">
    <xf numFmtId="0" fontId="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2" fillId="5" borderId="17" applyNumberFormat="0" applyAlignment="0" applyProtection="0"/>
    <xf numFmtId="0" fontId="12" fillId="5" borderId="17" applyNumberFormat="0" applyAlignment="0" applyProtection="0"/>
    <xf numFmtId="0" fontId="13" fillId="7" borderId="18" applyNumberFormat="0" applyAlignment="0" applyProtection="0"/>
    <xf numFmtId="0" fontId="13" fillId="7" borderId="18" applyNumberFormat="0" applyAlignment="0" applyProtection="0"/>
    <xf numFmtId="0" fontId="14" fillId="0" borderId="19" applyNumberFormat="0" applyFill="0" applyAlignment="0" applyProtection="0"/>
    <xf numFmtId="0" fontId="14" fillId="0" borderId="19" applyNumberFormat="0" applyFill="0" applyAlignment="0" applyProtection="0"/>
    <xf numFmtId="0" fontId="15" fillId="13" borderId="20" applyNumberFormat="0" applyAlignment="0" applyProtection="0"/>
    <xf numFmtId="0" fontId="15" fillId="13" borderId="20" applyNumberFormat="0" applyAlignment="0" applyProtection="0"/>
    <xf numFmtId="0" fontId="19" fillId="0" borderId="21" applyNumberFormat="0" applyFill="0" applyAlignment="0" applyProtection="0"/>
    <xf numFmtId="0" fontId="19" fillId="0" borderId="21" applyNumberFormat="0" applyFill="0" applyAlignment="0" applyProtection="0"/>
    <xf numFmtId="0" fontId="20" fillId="0" borderId="22" applyNumberFormat="0" applyFill="0" applyAlignment="0" applyProtection="0"/>
    <xf numFmtId="0" fontId="20" fillId="0" borderId="22" applyNumberFormat="0" applyFill="0" applyAlignment="0" applyProtection="0"/>
    <xf numFmtId="0" fontId="21" fillId="0" borderId="23" applyNumberFormat="0" applyFill="0" applyAlignment="0" applyProtection="0"/>
    <xf numFmtId="0" fontId="21" fillId="0" borderId="23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16" fillId="7" borderId="17" applyNumberFormat="0" applyAlignment="0" applyProtection="0"/>
    <xf numFmtId="0" fontId="16" fillId="7" borderId="17" applyNumberFormat="0" applyAlignment="0" applyProtection="0"/>
    <xf numFmtId="0" fontId="7" fillId="0" borderId="24" applyNumberFormat="0" applyFill="0" applyAlignment="0" applyProtection="0"/>
    <xf numFmtId="0" fontId="7" fillId="0" borderId="24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" fillId="6" borderId="25" applyNumberFormat="0" applyFont="0" applyAlignment="0" applyProtection="0"/>
    <xf numFmtId="0" fontId="1" fillId="6" borderId="25" applyNumberFormat="0" applyFon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5">
    <xf numFmtId="0" fontId="0" fillId="0" borderId="0" xfId="0"/>
    <xf numFmtId="0" fontId="0" fillId="0" borderId="0" xfId="0" applyBorder="1" applyProtection="1"/>
    <xf numFmtId="0" fontId="2" fillId="0" borderId="0" xfId="0" applyFont="1" applyBorder="1" applyProtection="1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2" fillId="0" borderId="0" xfId="0" applyFont="1" applyBorder="1" applyAlignment="1" applyProtection="1"/>
    <xf numFmtId="0" fontId="0" fillId="0" borderId="0" xfId="0" applyAlignment="1">
      <alignment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0" fillId="0" borderId="1" xfId="0" applyBorder="1" applyAlignment="1">
      <alignment wrapText="1"/>
    </xf>
    <xf numFmtId="0" fontId="2" fillId="0" borderId="1" xfId="0" applyFont="1" applyBorder="1" applyAlignment="1" applyProtection="1">
      <alignment horizontal="center" wrapText="1"/>
    </xf>
    <xf numFmtId="0" fontId="2" fillId="0" borderId="1" xfId="0" applyFont="1" applyBorder="1" applyAlignment="1">
      <alignment horizontal="center" wrapText="1"/>
    </xf>
    <xf numFmtId="164" fontId="0" fillId="0" borderId="1" xfId="8" applyNumberFormat="1" applyFont="1" applyBorder="1" applyAlignment="1">
      <alignment wrapText="1"/>
    </xf>
    <xf numFmtId="0" fontId="2" fillId="0" borderId="1" xfId="0" applyFont="1" applyBorder="1" applyAlignment="1">
      <alignment horizontal="left"/>
    </xf>
    <xf numFmtId="0" fontId="0" fillId="0" borderId="0" xfId="0" applyBorder="1" applyAlignment="1" applyProtection="1">
      <alignment horizontal="right" vertical="top"/>
    </xf>
    <xf numFmtId="0" fontId="0" fillId="0" borderId="0" xfId="0" applyBorder="1" applyAlignment="1" applyProtection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4" fillId="0" borderId="0" xfId="0" applyFont="1" applyBorder="1"/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0" fillId="0" borderId="0" xfId="0" applyBorder="1" applyProtection="1">
      <protection locked="0"/>
    </xf>
    <xf numFmtId="0" fontId="4" fillId="0" borderId="1" xfId="0" applyFont="1" applyBorder="1" applyAlignment="1">
      <alignment horizontal="center"/>
    </xf>
    <xf numFmtId="49" fontId="4" fillId="0" borderId="1" xfId="0" applyNumberFormat="1" applyFont="1" applyBorder="1"/>
    <xf numFmtId="0" fontId="0" fillId="0" borderId="0" xfId="0" applyBorder="1" applyAlignment="1" applyProtection="1">
      <alignment horizontal="right" wrapText="1"/>
    </xf>
    <xf numFmtId="49" fontId="4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vertical="top" wrapText="1"/>
    </xf>
    <xf numFmtId="14" fontId="4" fillId="0" borderId="1" xfId="0" applyNumberFormat="1" applyFont="1" applyBorder="1" applyAlignment="1">
      <alignment horizontal="center"/>
    </xf>
    <xf numFmtId="0" fontId="9" fillId="0" borderId="1" xfId="1" applyFont="1" applyBorder="1"/>
    <xf numFmtId="0" fontId="9" fillId="0" borderId="1" xfId="4" applyFont="1" applyBorder="1"/>
    <xf numFmtId="0" fontId="10" fillId="0" borderId="1" xfId="2" applyFont="1" applyBorder="1"/>
    <xf numFmtId="0" fontId="10" fillId="0" borderId="1" xfId="2" applyFont="1" applyBorder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0" fontId="9" fillId="0" borderId="1" xfId="3" applyFont="1" applyBorder="1"/>
    <xf numFmtId="14" fontId="9" fillId="0" borderId="1" xfId="4" applyNumberFormat="1" applyFont="1" applyBorder="1"/>
    <xf numFmtId="0" fontId="4" fillId="0" borderId="1" xfId="0" applyFont="1" applyFill="1" applyBorder="1"/>
    <xf numFmtId="0" fontId="9" fillId="0" borderId="1" xfId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9" fillId="0" borderId="1" xfId="5" applyFont="1" applyBorder="1"/>
    <xf numFmtId="14" fontId="9" fillId="0" borderId="1" xfId="5" applyNumberFormat="1" applyFont="1" applyBorder="1"/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14" fontId="4" fillId="0" borderId="1" xfId="0" applyNumberFormat="1" applyFont="1" applyBorder="1" applyAlignment="1">
      <alignment horizontal="right" vertical="center" wrapText="1"/>
    </xf>
    <xf numFmtId="0" fontId="9" fillId="0" borderId="1" xfId="5" applyFont="1" applyBorder="1" applyAlignment="1">
      <alignment horizontal="center"/>
    </xf>
    <xf numFmtId="49" fontId="4" fillId="0" borderId="1" xfId="0" applyNumberFormat="1" applyFont="1" applyBorder="1" applyAlignment="1">
      <alignment horizontal="right" vertical="center" wrapText="1"/>
    </xf>
    <xf numFmtId="49" fontId="9" fillId="0" borderId="1" xfId="5" applyNumberFormat="1" applyFont="1" applyBorder="1" applyAlignment="1">
      <alignment horizontal="right"/>
    </xf>
    <xf numFmtId="49" fontId="4" fillId="0" borderId="0" xfId="0" applyNumberFormat="1" applyFont="1" applyAlignment="1">
      <alignment horizontal="center"/>
    </xf>
    <xf numFmtId="166" fontId="4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2" fillId="0" borderId="0" xfId="0" applyFont="1" applyBorder="1" applyAlignment="1">
      <alignment horizontal="left"/>
    </xf>
    <xf numFmtId="0" fontId="7" fillId="0" borderId="1" xfId="7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9" fillId="0" borderId="1" xfId="5" applyFont="1" applyBorder="1" applyAlignment="1">
      <alignment horizontal="right"/>
    </xf>
    <xf numFmtId="14" fontId="9" fillId="0" borderId="1" xfId="5" applyNumberFormat="1" applyFont="1" applyBorder="1" applyAlignment="1">
      <alignment horizontal="right"/>
    </xf>
    <xf numFmtId="0" fontId="9" fillId="0" borderId="1" xfId="4" applyFont="1" applyBorder="1" applyAlignment="1">
      <alignment horizontal="left"/>
    </xf>
    <xf numFmtId="0" fontId="0" fillId="0" borderId="0" xfId="0"/>
    <xf numFmtId="0" fontId="2" fillId="0" borderId="0" xfId="0" applyFont="1" applyAlignment="1">
      <alignment horizontal="right"/>
    </xf>
    <xf numFmtId="0" fontId="0" fillId="0" borderId="0" xfId="0" applyBorder="1" applyAlignment="1">
      <alignment horizontal="right"/>
    </xf>
    <xf numFmtId="0" fontId="4" fillId="0" borderId="1" xfId="0" applyFont="1" applyBorder="1" applyAlignment="1">
      <alignment wrapText="1"/>
    </xf>
    <xf numFmtId="0" fontId="0" fillId="0" borderId="0" xfId="0"/>
    <xf numFmtId="14" fontId="9" fillId="0" borderId="1" xfId="1" applyNumberFormat="1" applyFont="1" applyBorder="1" applyAlignment="1">
      <alignment horizontal="center"/>
    </xf>
    <xf numFmtId="0" fontId="0" fillId="0" borderId="0" xfId="0" applyAlignment="1">
      <alignment wrapText="1"/>
    </xf>
    <xf numFmtId="0" fontId="4" fillId="0" borderId="0" xfId="0" applyFont="1" applyBorder="1" applyAlignment="1">
      <alignment wrapText="1"/>
    </xf>
    <xf numFmtId="0" fontId="4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right" vertical="center" wrapText="1"/>
    </xf>
    <xf numFmtId="0" fontId="4" fillId="0" borderId="14" xfId="0" applyFont="1" applyBorder="1" applyAlignment="1">
      <alignment horizontal="center" vertical="center" wrapText="1"/>
    </xf>
    <xf numFmtId="167" fontId="4" fillId="0" borderId="14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/>
    <xf numFmtId="0" fontId="4" fillId="0" borderId="1" xfId="0" applyFont="1" applyBorder="1" applyAlignment="1">
      <alignment wrapText="1"/>
    </xf>
    <xf numFmtId="14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0" xfId="0"/>
    <xf numFmtId="0" fontId="0" fillId="0" borderId="0" xfId="0" applyBorder="1" applyAlignment="1" applyProtection="1"/>
    <xf numFmtId="0" fontId="0" fillId="0" borderId="0" xfId="0" applyBorder="1" applyAlignment="1" applyProtection="1"/>
    <xf numFmtId="0" fontId="0" fillId="0" borderId="0" xfId="0" applyBorder="1" applyAlignment="1" applyProtection="1">
      <alignment wrapText="1"/>
    </xf>
    <xf numFmtId="0" fontId="0" fillId="0" borderId="0" xfId="0" applyAlignment="1">
      <alignment wrapText="1"/>
    </xf>
    <xf numFmtId="0" fontId="0" fillId="0" borderId="1" xfId="0" applyBorder="1" applyAlignment="1" applyProtection="1">
      <alignment horizontal="center" wrapText="1"/>
    </xf>
    <xf numFmtId="0" fontId="0" fillId="4" borderId="1" xfId="0" applyFill="1" applyBorder="1" applyAlignment="1" applyProtection="1">
      <alignment horizontal="center" wrapText="1"/>
    </xf>
    <xf numFmtId="0" fontId="0" fillId="0" borderId="1" xfId="0" applyBorder="1" applyProtection="1"/>
    <xf numFmtId="0" fontId="0" fillId="0" borderId="0" xfId="0" applyBorder="1" applyAlignment="1" applyProtection="1">
      <alignment horizontal="right"/>
    </xf>
    <xf numFmtId="0" fontId="0" fillId="0" borderId="7" xfId="0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0" fillId="0" borderId="1" xfId="0" applyBorder="1" applyAlignment="1" applyProtection="1">
      <alignment vertical="top"/>
    </xf>
    <xf numFmtId="0" fontId="0" fillId="0" borderId="0" xfId="0" applyBorder="1" applyAlignment="1" applyProtection="1"/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0" fontId="25" fillId="0" borderId="0" xfId="0" applyFont="1"/>
    <xf numFmtId="0" fontId="26" fillId="0" borderId="0" xfId="0" applyFont="1" applyAlignment="1">
      <alignment horizontal="right"/>
    </xf>
    <xf numFmtId="0" fontId="26" fillId="0" borderId="1" xfId="0" applyFont="1" applyBorder="1" applyAlignment="1">
      <alignment horizontal="left"/>
    </xf>
    <xf numFmtId="0" fontId="25" fillId="0" borderId="0" xfId="0" applyFont="1" applyBorder="1" applyAlignment="1"/>
    <xf numFmtId="0" fontId="25" fillId="0" borderId="0" xfId="0" applyFont="1" applyBorder="1" applyAlignment="1">
      <alignment horizontal="right"/>
    </xf>
    <xf numFmtId="0" fontId="25" fillId="0" borderId="0" xfId="0" applyFont="1" applyBorder="1" applyAlignment="1">
      <alignment horizontal="left"/>
    </xf>
    <xf numFmtId="0" fontId="25" fillId="0" borderId="0" xfId="0" applyFont="1" applyAlignment="1">
      <alignment horizontal="right"/>
    </xf>
    <xf numFmtId="0" fontId="25" fillId="0" borderId="0" xfId="0" applyFont="1" applyBorder="1" applyAlignment="1">
      <alignment horizontal="center" vertical="center" wrapText="1"/>
    </xf>
    <xf numFmtId="0" fontId="26" fillId="0" borderId="0" xfId="0" applyFont="1"/>
    <xf numFmtId="0" fontId="25" fillId="0" borderId="0" xfId="0" applyFont="1" applyAlignment="1">
      <alignment horizontal="center" vertical="center" wrapText="1"/>
    </xf>
    <xf numFmtId="0" fontId="26" fillId="0" borderId="1" xfId="0" applyFont="1" applyBorder="1"/>
    <xf numFmtId="0" fontId="26" fillId="0" borderId="1" xfId="0" applyFont="1" applyBorder="1" applyAlignment="1">
      <alignment horizontal="center" vertical="center" wrapText="1"/>
    </xf>
    <xf numFmtId="0" fontId="26" fillId="3" borderId="1" xfId="6" applyFont="1" applyFill="1" applyBorder="1" applyAlignment="1">
      <alignment vertical="top" wrapText="1"/>
    </xf>
    <xf numFmtId="14" fontId="26" fillId="0" borderId="1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wrapText="1"/>
    </xf>
    <xf numFmtId="0" fontId="26" fillId="0" borderId="0" xfId="0" applyFont="1" applyBorder="1"/>
    <xf numFmtId="0" fontId="26" fillId="0" borderId="2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4" fontId="25" fillId="0" borderId="0" xfId="0" applyNumberFormat="1" applyFont="1" applyAlignment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0" fontId="0" fillId="0" borderId="0" xfId="0" applyBorder="1" applyAlignment="1" applyProtection="1">
      <alignment horizontal="center" wrapText="1"/>
    </xf>
    <xf numFmtId="0" fontId="0" fillId="0" borderId="0" xfId="0" applyBorder="1" applyAlignment="1" applyProtection="1"/>
    <xf numFmtId="0" fontId="2" fillId="0" borderId="6" xfId="0" applyFont="1" applyBorder="1" applyAlignment="1" applyProtection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0" fillId="0" borderId="0" xfId="0" applyBorder="1" applyAlignment="1" applyProtection="1">
      <alignment wrapText="1"/>
    </xf>
    <xf numFmtId="0" fontId="0" fillId="0" borderId="15" xfId="0" applyBorder="1" applyAlignment="1" applyProtection="1">
      <alignment horizontal="left" wrapText="1"/>
    </xf>
    <xf numFmtId="0" fontId="0" fillId="0" borderId="16" xfId="0" applyBorder="1" applyAlignment="1" applyProtection="1">
      <alignment horizontal="left" wrapText="1"/>
    </xf>
    <xf numFmtId="0" fontId="0" fillId="0" borderId="6" xfId="0" applyBorder="1" applyAlignment="1" applyProtection="1">
      <alignment horizontal="center" vertical="top"/>
    </xf>
    <xf numFmtId="0" fontId="0" fillId="0" borderId="4" xfId="0" applyBorder="1" applyAlignment="1" applyProtection="1">
      <alignment horizontal="center" vertical="top"/>
    </xf>
    <xf numFmtId="0" fontId="0" fillId="0" borderId="5" xfId="0" applyBorder="1" applyAlignment="1" applyProtection="1">
      <alignment horizontal="center" vertical="top"/>
    </xf>
    <xf numFmtId="0" fontId="0" fillId="0" borderId="0" xfId="0" applyBorder="1" applyAlignment="1" applyProtection="1">
      <alignment horizontal="left"/>
    </xf>
    <xf numFmtId="0" fontId="2" fillId="0" borderId="0" xfId="0" applyFont="1" applyAlignment="1">
      <alignment horizontal="right" vertical="center"/>
    </xf>
    <xf numFmtId="0" fontId="0" fillId="0" borderId="7" xfId="0" applyBorder="1"/>
    <xf numFmtId="0" fontId="2" fillId="0" borderId="0" xfId="0" applyFont="1" applyAlignment="1">
      <alignment horizontal="center" vertical="center"/>
    </xf>
    <xf numFmtId="0" fontId="0" fillId="0" borderId="0" xfId="0"/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7" xfId="0" applyBorder="1" applyAlignment="1"/>
    <xf numFmtId="165" fontId="3" fillId="2" borderId="6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165" fontId="3" fillId="2" borderId="5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7" xfId="0" applyBorder="1" applyAlignment="1">
      <alignment horizontal="right"/>
    </xf>
    <xf numFmtId="0" fontId="3" fillId="0" borderId="5" xfId="0" applyFont="1" applyBorder="1" applyAlignment="1" applyProtection="1">
      <protection locked="0"/>
    </xf>
    <xf numFmtId="0" fontId="4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wrapText="1"/>
    </xf>
    <xf numFmtId="0" fontId="2" fillId="0" borderId="7" xfId="0" applyFont="1" applyBorder="1" applyAlignment="1">
      <alignment horizontal="right"/>
    </xf>
    <xf numFmtId="0" fontId="0" fillId="0" borderId="0" xfId="0" applyAlignment="1"/>
    <xf numFmtId="0" fontId="4" fillId="0" borderId="2" xfId="0" applyFont="1" applyBorder="1" applyAlignment="1">
      <alignment horizontal="left" wrapText="1"/>
    </xf>
    <xf numFmtId="0" fontId="4" fillId="0" borderId="2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4" fillId="0" borderId="12" xfId="0" applyFont="1" applyBorder="1" applyAlignment="1">
      <alignment wrapText="1"/>
    </xf>
    <xf numFmtId="0" fontId="4" fillId="0" borderId="13" xfId="0" applyFont="1" applyBorder="1" applyAlignment="1">
      <alignment wrapText="1"/>
    </xf>
    <xf numFmtId="0" fontId="26" fillId="0" borderId="0" xfId="0" applyFont="1" applyAlignment="1">
      <alignment horizontal="right" vertical="center"/>
    </xf>
    <xf numFmtId="0" fontId="25" fillId="0" borderId="7" xfId="0" applyFont="1" applyBorder="1"/>
    <xf numFmtId="0" fontId="26" fillId="0" borderId="6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1" xfId="0" applyFont="1" applyBorder="1" applyAlignment="1">
      <alignment horizontal="left" wrapText="1"/>
    </xf>
    <xf numFmtId="165" fontId="25" fillId="2" borderId="6" xfId="0" applyNumberFormat="1" applyFont="1" applyFill="1" applyBorder="1" applyAlignment="1" applyProtection="1">
      <alignment horizontal="left"/>
      <protection locked="0"/>
    </xf>
    <xf numFmtId="165" fontId="25" fillId="2" borderId="4" xfId="0" applyNumberFormat="1" applyFont="1" applyFill="1" applyBorder="1" applyAlignment="1" applyProtection="1">
      <alignment horizontal="left"/>
      <protection locked="0"/>
    </xf>
    <xf numFmtId="0" fontId="25" fillId="0" borderId="5" xfId="0" applyFont="1" applyBorder="1" applyAlignment="1" applyProtection="1">
      <protection locked="0"/>
    </xf>
    <xf numFmtId="0" fontId="26" fillId="0" borderId="1" xfId="0" applyFont="1" applyBorder="1" applyAlignment="1">
      <alignment wrapText="1"/>
    </xf>
    <xf numFmtId="0" fontId="26" fillId="0" borderId="0" xfId="0" applyFont="1" applyAlignment="1">
      <alignment horizontal="right"/>
    </xf>
    <xf numFmtId="0" fontId="25" fillId="0" borderId="7" xfId="0" applyFont="1" applyBorder="1" applyAlignment="1"/>
    <xf numFmtId="165" fontId="25" fillId="2" borderId="5" xfId="0" applyNumberFormat="1" applyFont="1" applyFill="1" applyBorder="1" applyAlignment="1" applyProtection="1">
      <alignment horizontal="left"/>
      <protection locked="0"/>
    </xf>
    <xf numFmtId="0" fontId="26" fillId="0" borderId="0" xfId="0" applyFont="1" applyBorder="1" applyAlignment="1">
      <alignment horizontal="right"/>
    </xf>
    <xf numFmtId="0" fontId="25" fillId="0" borderId="0" xfId="0" applyFont="1" applyBorder="1" applyAlignment="1">
      <alignment horizontal="right"/>
    </xf>
    <xf numFmtId="0" fontId="25" fillId="0" borderId="7" xfId="0" applyFont="1" applyBorder="1" applyAlignment="1">
      <alignment horizontal="right"/>
    </xf>
    <xf numFmtId="165" fontId="23" fillId="2" borderId="8" xfId="0" applyNumberFormat="1" applyFont="1" applyFill="1" applyBorder="1" applyAlignment="1" applyProtection="1">
      <alignment horizontal="left"/>
      <protection locked="0"/>
    </xf>
    <xf numFmtId="165" fontId="23" fillId="2" borderId="9" xfId="0" applyNumberFormat="1" applyFont="1" applyFill="1" applyBorder="1" applyAlignment="1" applyProtection="1">
      <alignment horizontal="left"/>
      <protection locked="0"/>
    </xf>
    <xf numFmtId="165" fontId="23" fillId="2" borderId="10" xfId="0" applyNumberFormat="1" applyFont="1" applyFill="1" applyBorder="1" applyAlignment="1" applyProtection="1">
      <alignment horizontal="left"/>
      <protection locked="0"/>
    </xf>
    <xf numFmtId="0" fontId="9" fillId="0" borderId="1" xfId="0" applyFont="1" applyBorder="1" applyAlignment="1">
      <alignment horizontal="left" vertical="center" wrapText="1"/>
    </xf>
  </cellXfs>
  <cellStyles count="59">
    <cellStyle name="Akcent 1 2" xfId="10" xr:uid="{00000000-0005-0000-0000-000037000000}"/>
    <cellStyle name="Akcent 1 3" xfId="11" xr:uid="{00000000-0005-0000-0000-000038000000}"/>
    <cellStyle name="Akcent 2 2" xfId="12" xr:uid="{00000000-0005-0000-0000-000039000000}"/>
    <cellStyle name="Akcent 2 3" xfId="13" xr:uid="{00000000-0005-0000-0000-00003A000000}"/>
    <cellStyle name="Akcent 3 2" xfId="14" xr:uid="{00000000-0005-0000-0000-00003B000000}"/>
    <cellStyle name="Akcent 3 3" xfId="15" xr:uid="{00000000-0005-0000-0000-00003C000000}"/>
    <cellStyle name="Akcent 4 2" xfId="16" xr:uid="{00000000-0005-0000-0000-00003D000000}"/>
    <cellStyle name="Akcent 4 3" xfId="17" xr:uid="{00000000-0005-0000-0000-00003E000000}"/>
    <cellStyle name="Akcent 5 2" xfId="18" xr:uid="{00000000-0005-0000-0000-00003F000000}"/>
    <cellStyle name="Akcent 5 3" xfId="19" xr:uid="{00000000-0005-0000-0000-000040000000}"/>
    <cellStyle name="Akcent 6 2" xfId="20" xr:uid="{00000000-0005-0000-0000-000041000000}"/>
    <cellStyle name="Akcent 6 3" xfId="21" xr:uid="{00000000-0005-0000-0000-000042000000}"/>
    <cellStyle name="Dane wejściowe 2" xfId="22" xr:uid="{00000000-0005-0000-0000-000043000000}"/>
    <cellStyle name="Dane wejściowe 3" xfId="23" xr:uid="{00000000-0005-0000-0000-000044000000}"/>
    <cellStyle name="Dane wyjściowe 2" xfId="24" xr:uid="{00000000-0005-0000-0000-000045000000}"/>
    <cellStyle name="Dane wyjściowe 3" xfId="25" xr:uid="{00000000-0005-0000-0000-000046000000}"/>
    <cellStyle name="Komórka połączona 2" xfId="26" xr:uid="{00000000-0005-0000-0000-000047000000}"/>
    <cellStyle name="Komórka połączona 3" xfId="27" xr:uid="{00000000-0005-0000-0000-000048000000}"/>
    <cellStyle name="Komórka zaznaczona 2" xfId="28" xr:uid="{00000000-0005-0000-0000-000049000000}"/>
    <cellStyle name="Komórka zaznaczona 3" xfId="29" xr:uid="{00000000-0005-0000-0000-00004A000000}"/>
    <cellStyle name="Nagłówek 1 2" xfId="30" xr:uid="{00000000-0005-0000-0000-00004B000000}"/>
    <cellStyle name="Nagłówek 1 3" xfId="31" xr:uid="{00000000-0005-0000-0000-00004C000000}"/>
    <cellStyle name="Nagłówek 2 2" xfId="32" xr:uid="{00000000-0005-0000-0000-00004D000000}"/>
    <cellStyle name="Nagłówek 2 3" xfId="33" xr:uid="{00000000-0005-0000-0000-00004E000000}"/>
    <cellStyle name="Nagłówek 3 2" xfId="34" xr:uid="{00000000-0005-0000-0000-00004F000000}"/>
    <cellStyle name="Nagłówek 3 3" xfId="35" xr:uid="{00000000-0005-0000-0000-000050000000}"/>
    <cellStyle name="Nagłówek 4 2" xfId="36" xr:uid="{00000000-0005-0000-0000-000051000000}"/>
    <cellStyle name="Nagłówek 4 3" xfId="37" xr:uid="{00000000-0005-0000-0000-000052000000}"/>
    <cellStyle name="Normalny" xfId="0" builtinId="0"/>
    <cellStyle name="Normalny 2" xfId="38" xr:uid="{00000000-0005-0000-0000-000053000000}"/>
    <cellStyle name="Normalny 2 2" xfId="39" xr:uid="{00000000-0005-0000-0000-000054000000}"/>
    <cellStyle name="Normalny 2 3" xfId="40" xr:uid="{00000000-0005-0000-0000-000055000000}"/>
    <cellStyle name="Normalny_Zadanie nr 21" xfId="1" xr:uid="{00000000-0005-0000-0000-000001000000}"/>
    <cellStyle name="Normalny_Zadanie nr 49" xfId="2" xr:uid="{00000000-0005-0000-0000-000002000000}"/>
    <cellStyle name="Normalny_Zadanie nr 50" xfId="3" xr:uid="{00000000-0005-0000-0000-000003000000}"/>
    <cellStyle name="Normalny_Zadanie nr 53" xfId="4" xr:uid="{00000000-0005-0000-0000-000004000000}"/>
    <cellStyle name="Normalny_Zadanie nr 54" xfId="5" xr:uid="{00000000-0005-0000-0000-000005000000}"/>
    <cellStyle name="Normalny_Zadanie nr 56" xfId="6" xr:uid="{00000000-0005-0000-0000-000006000000}"/>
    <cellStyle name="Normalny_Zadanie nr 57" xfId="7" xr:uid="{00000000-0005-0000-0000-000007000000}"/>
    <cellStyle name="Obliczenia 2" xfId="41" xr:uid="{00000000-0005-0000-0000-000056000000}"/>
    <cellStyle name="Obliczenia 3" xfId="42" xr:uid="{00000000-0005-0000-0000-000057000000}"/>
    <cellStyle name="Suma 2" xfId="43" xr:uid="{00000000-0005-0000-0000-000058000000}"/>
    <cellStyle name="Suma 3" xfId="44" xr:uid="{00000000-0005-0000-0000-000059000000}"/>
    <cellStyle name="Tekst objaśnienia 2" xfId="45" xr:uid="{00000000-0005-0000-0000-00005A000000}"/>
    <cellStyle name="Tekst objaśnienia 3" xfId="46" xr:uid="{00000000-0005-0000-0000-00005B000000}"/>
    <cellStyle name="Tekst ostrzeżenia 2" xfId="47" xr:uid="{00000000-0005-0000-0000-00005C000000}"/>
    <cellStyle name="Tekst ostrzeżenia 3" xfId="48" xr:uid="{00000000-0005-0000-0000-00005D000000}"/>
    <cellStyle name="Tytuł 2" xfId="49" xr:uid="{00000000-0005-0000-0000-00005E000000}"/>
    <cellStyle name="Tytuł 3" xfId="50" xr:uid="{00000000-0005-0000-0000-00005F000000}"/>
    <cellStyle name="Uwaga 2" xfId="51" xr:uid="{00000000-0005-0000-0000-000060000000}"/>
    <cellStyle name="Uwaga 3" xfId="52" xr:uid="{00000000-0005-0000-0000-000061000000}"/>
    <cellStyle name="Walutowy" xfId="8" builtinId="4"/>
    <cellStyle name="Walutowy 2" xfId="9" xr:uid="{00000000-0005-0000-0000-000009000000}"/>
    <cellStyle name="Walutowy 2 2" xfId="54" xr:uid="{00000000-0005-0000-0000-000063000000}"/>
    <cellStyle name="Walutowy 2 3" xfId="55" xr:uid="{00000000-0005-0000-0000-000064000000}"/>
    <cellStyle name="Walutowy 2 4" xfId="56" xr:uid="{00000000-0005-0000-0000-000065000000}"/>
    <cellStyle name="Walutowy 2 5" xfId="57" xr:uid="{00000000-0005-0000-0000-000066000000}"/>
    <cellStyle name="Walutowy 2 6" xfId="58" xr:uid="{00000000-0005-0000-0000-000067000000}"/>
    <cellStyle name="Walutowy 2 7" xfId="53" xr:uid="{00000000-0005-0000-0000-00006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0.bin"/><Relationship Id="rId2" Type="http://schemas.openxmlformats.org/officeDocument/2006/relationships/printerSettings" Target="../printerSettings/printerSettings29.bin"/><Relationship Id="rId1" Type="http://schemas.openxmlformats.org/officeDocument/2006/relationships/printerSettings" Target="../printerSettings/printerSettings28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3.bin"/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6.bin"/><Relationship Id="rId2" Type="http://schemas.openxmlformats.org/officeDocument/2006/relationships/printerSettings" Target="../printerSettings/printerSettings35.bin"/><Relationship Id="rId1" Type="http://schemas.openxmlformats.org/officeDocument/2006/relationships/printerSettings" Target="../printerSettings/printerSettings34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2.bin"/><Relationship Id="rId2" Type="http://schemas.openxmlformats.org/officeDocument/2006/relationships/printerSettings" Target="../printerSettings/printerSettings41.bin"/><Relationship Id="rId1" Type="http://schemas.openxmlformats.org/officeDocument/2006/relationships/printerSettings" Target="../printerSettings/printerSettings40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5.bin"/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8.bin"/><Relationship Id="rId2" Type="http://schemas.openxmlformats.org/officeDocument/2006/relationships/printerSettings" Target="../printerSettings/printerSettings47.bin"/><Relationship Id="rId1" Type="http://schemas.openxmlformats.org/officeDocument/2006/relationships/printerSettings" Target="../printerSettings/printerSettings4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1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4.bin"/><Relationship Id="rId2" Type="http://schemas.openxmlformats.org/officeDocument/2006/relationships/printerSettings" Target="../printerSettings/printerSettings53.bin"/><Relationship Id="rId1" Type="http://schemas.openxmlformats.org/officeDocument/2006/relationships/printerSettings" Target="../printerSettings/printerSettings52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7.bin"/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0.bin"/><Relationship Id="rId2" Type="http://schemas.openxmlformats.org/officeDocument/2006/relationships/printerSettings" Target="../printerSettings/printerSettings59.bin"/><Relationship Id="rId1" Type="http://schemas.openxmlformats.org/officeDocument/2006/relationships/printerSettings" Target="../printerSettings/printerSettings58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6.bin"/><Relationship Id="rId2" Type="http://schemas.openxmlformats.org/officeDocument/2006/relationships/printerSettings" Target="../printerSettings/printerSettings65.bin"/><Relationship Id="rId1" Type="http://schemas.openxmlformats.org/officeDocument/2006/relationships/printerSettings" Target="../printerSettings/printerSettings64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9.bin"/><Relationship Id="rId2" Type="http://schemas.openxmlformats.org/officeDocument/2006/relationships/printerSettings" Target="../printerSettings/printerSettings68.bin"/><Relationship Id="rId1" Type="http://schemas.openxmlformats.org/officeDocument/2006/relationships/printerSettings" Target="../printerSettings/printerSettings67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2.bin"/><Relationship Id="rId2" Type="http://schemas.openxmlformats.org/officeDocument/2006/relationships/printerSettings" Target="../printerSettings/printerSettings71.bin"/><Relationship Id="rId1" Type="http://schemas.openxmlformats.org/officeDocument/2006/relationships/printerSettings" Target="../printerSettings/printerSettings70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5.bin"/><Relationship Id="rId2" Type="http://schemas.openxmlformats.org/officeDocument/2006/relationships/printerSettings" Target="../printerSettings/printerSettings74.bin"/><Relationship Id="rId1" Type="http://schemas.openxmlformats.org/officeDocument/2006/relationships/printerSettings" Target="../printerSettings/printerSettings73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8.bin"/><Relationship Id="rId2" Type="http://schemas.openxmlformats.org/officeDocument/2006/relationships/printerSettings" Target="../printerSettings/printerSettings77.bin"/><Relationship Id="rId1" Type="http://schemas.openxmlformats.org/officeDocument/2006/relationships/printerSettings" Target="../printerSettings/printerSettings7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1.bin"/><Relationship Id="rId2" Type="http://schemas.openxmlformats.org/officeDocument/2006/relationships/printerSettings" Target="../printerSettings/printerSettings80.bin"/><Relationship Id="rId1" Type="http://schemas.openxmlformats.org/officeDocument/2006/relationships/printerSettings" Target="../printerSettings/printerSettings79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4.bin"/><Relationship Id="rId2" Type="http://schemas.openxmlformats.org/officeDocument/2006/relationships/printerSettings" Target="../printerSettings/printerSettings83.bin"/><Relationship Id="rId1" Type="http://schemas.openxmlformats.org/officeDocument/2006/relationships/printerSettings" Target="../printerSettings/printerSettings82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7.bin"/><Relationship Id="rId2" Type="http://schemas.openxmlformats.org/officeDocument/2006/relationships/printerSettings" Target="../printerSettings/printerSettings86.bin"/><Relationship Id="rId1" Type="http://schemas.openxmlformats.org/officeDocument/2006/relationships/printerSettings" Target="../printerSettings/printerSettings85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0.bin"/><Relationship Id="rId2" Type="http://schemas.openxmlformats.org/officeDocument/2006/relationships/printerSettings" Target="../printerSettings/printerSettings89.bin"/><Relationship Id="rId1" Type="http://schemas.openxmlformats.org/officeDocument/2006/relationships/printerSettings" Target="../printerSettings/printerSettings88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3.bin"/><Relationship Id="rId2" Type="http://schemas.openxmlformats.org/officeDocument/2006/relationships/printerSettings" Target="../printerSettings/printerSettings92.bin"/><Relationship Id="rId1" Type="http://schemas.openxmlformats.org/officeDocument/2006/relationships/printerSettings" Target="../printerSettings/printerSettings9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6.bin"/><Relationship Id="rId2" Type="http://schemas.openxmlformats.org/officeDocument/2006/relationships/printerSettings" Target="../printerSettings/printerSettings95.bin"/><Relationship Id="rId1" Type="http://schemas.openxmlformats.org/officeDocument/2006/relationships/printerSettings" Target="../printerSettings/printerSettings94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9.bin"/><Relationship Id="rId2" Type="http://schemas.openxmlformats.org/officeDocument/2006/relationships/printerSettings" Target="../printerSettings/printerSettings98.bin"/><Relationship Id="rId1" Type="http://schemas.openxmlformats.org/officeDocument/2006/relationships/printerSettings" Target="../printerSettings/printerSettings97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2.bin"/><Relationship Id="rId2" Type="http://schemas.openxmlformats.org/officeDocument/2006/relationships/printerSettings" Target="../printerSettings/printerSettings101.bin"/><Relationship Id="rId1" Type="http://schemas.openxmlformats.org/officeDocument/2006/relationships/printerSettings" Target="../printerSettings/printerSettings100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5.bin"/><Relationship Id="rId2" Type="http://schemas.openxmlformats.org/officeDocument/2006/relationships/printerSettings" Target="../printerSettings/printerSettings104.bin"/><Relationship Id="rId1" Type="http://schemas.openxmlformats.org/officeDocument/2006/relationships/printerSettings" Target="../printerSettings/printerSettings103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8.bin"/><Relationship Id="rId2" Type="http://schemas.openxmlformats.org/officeDocument/2006/relationships/printerSettings" Target="../printerSettings/printerSettings107.bin"/><Relationship Id="rId1" Type="http://schemas.openxmlformats.org/officeDocument/2006/relationships/printerSettings" Target="../printerSettings/printerSettings10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1.bin"/><Relationship Id="rId2" Type="http://schemas.openxmlformats.org/officeDocument/2006/relationships/printerSettings" Target="../printerSettings/printerSettings110.bin"/><Relationship Id="rId1" Type="http://schemas.openxmlformats.org/officeDocument/2006/relationships/printerSettings" Target="../printerSettings/printerSettings109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4.bin"/><Relationship Id="rId2" Type="http://schemas.openxmlformats.org/officeDocument/2006/relationships/printerSettings" Target="../printerSettings/printerSettings113.bin"/><Relationship Id="rId1" Type="http://schemas.openxmlformats.org/officeDocument/2006/relationships/printerSettings" Target="../printerSettings/printerSettings112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7.bin"/><Relationship Id="rId2" Type="http://schemas.openxmlformats.org/officeDocument/2006/relationships/printerSettings" Target="../printerSettings/printerSettings116.bin"/><Relationship Id="rId1" Type="http://schemas.openxmlformats.org/officeDocument/2006/relationships/printerSettings" Target="../printerSettings/printerSettings115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0.bin"/><Relationship Id="rId2" Type="http://schemas.openxmlformats.org/officeDocument/2006/relationships/printerSettings" Target="../printerSettings/printerSettings119.bin"/><Relationship Id="rId1" Type="http://schemas.openxmlformats.org/officeDocument/2006/relationships/printerSettings" Target="../printerSettings/printerSettings118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3.bin"/><Relationship Id="rId2" Type="http://schemas.openxmlformats.org/officeDocument/2006/relationships/printerSettings" Target="../printerSettings/printerSettings122.bin"/><Relationship Id="rId1" Type="http://schemas.openxmlformats.org/officeDocument/2006/relationships/printerSettings" Target="../printerSettings/printerSettings12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6.bin"/><Relationship Id="rId2" Type="http://schemas.openxmlformats.org/officeDocument/2006/relationships/printerSettings" Target="../printerSettings/printerSettings125.bin"/><Relationship Id="rId1" Type="http://schemas.openxmlformats.org/officeDocument/2006/relationships/printerSettings" Target="../printerSettings/printerSettings124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9.bin"/><Relationship Id="rId2" Type="http://schemas.openxmlformats.org/officeDocument/2006/relationships/printerSettings" Target="../printerSettings/printerSettings128.bin"/><Relationship Id="rId1" Type="http://schemas.openxmlformats.org/officeDocument/2006/relationships/printerSettings" Target="../printerSettings/printerSettings127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2.bin"/><Relationship Id="rId2" Type="http://schemas.openxmlformats.org/officeDocument/2006/relationships/printerSettings" Target="../printerSettings/printerSettings131.bin"/><Relationship Id="rId1" Type="http://schemas.openxmlformats.org/officeDocument/2006/relationships/printerSettings" Target="../printerSettings/printerSettings130.bin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5.bin"/><Relationship Id="rId2" Type="http://schemas.openxmlformats.org/officeDocument/2006/relationships/printerSettings" Target="../printerSettings/printerSettings134.bin"/><Relationship Id="rId1" Type="http://schemas.openxmlformats.org/officeDocument/2006/relationships/printerSettings" Target="../printerSettings/printerSettings133.bin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8.bin"/><Relationship Id="rId2" Type="http://schemas.openxmlformats.org/officeDocument/2006/relationships/printerSettings" Target="../printerSettings/printerSettings137.bin"/><Relationship Id="rId1" Type="http://schemas.openxmlformats.org/officeDocument/2006/relationships/printerSettings" Target="../printerSettings/printerSettings136.bin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1.bin"/><Relationship Id="rId2" Type="http://schemas.openxmlformats.org/officeDocument/2006/relationships/printerSettings" Target="../printerSettings/printerSettings140.bin"/><Relationship Id="rId1" Type="http://schemas.openxmlformats.org/officeDocument/2006/relationships/printerSettings" Target="../printerSettings/printerSettings139.bin"/></Relationships>
</file>

<file path=xl/worksheets/_rels/sheet4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4.bin"/><Relationship Id="rId2" Type="http://schemas.openxmlformats.org/officeDocument/2006/relationships/printerSettings" Target="../printerSettings/printerSettings143.bin"/><Relationship Id="rId1" Type="http://schemas.openxmlformats.org/officeDocument/2006/relationships/printerSettings" Target="../printerSettings/printerSettings142.bin"/></Relationships>
</file>

<file path=xl/worksheets/_rels/sheet4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7.bin"/><Relationship Id="rId2" Type="http://schemas.openxmlformats.org/officeDocument/2006/relationships/printerSettings" Target="../printerSettings/printerSettings146.bin"/><Relationship Id="rId1" Type="http://schemas.openxmlformats.org/officeDocument/2006/relationships/printerSettings" Target="../printerSettings/printerSettings145.bin"/></Relationships>
</file>

<file path=xl/worksheets/_rels/sheet5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0.bin"/><Relationship Id="rId2" Type="http://schemas.openxmlformats.org/officeDocument/2006/relationships/printerSettings" Target="../printerSettings/printerSettings149.bin"/><Relationship Id="rId1" Type="http://schemas.openxmlformats.org/officeDocument/2006/relationships/printerSettings" Target="../printerSettings/printerSettings148.bin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3.bin"/><Relationship Id="rId2" Type="http://schemas.openxmlformats.org/officeDocument/2006/relationships/printerSettings" Target="../printerSettings/printerSettings152.bin"/><Relationship Id="rId1" Type="http://schemas.openxmlformats.org/officeDocument/2006/relationships/printerSettings" Target="../printerSettings/printerSettings1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6.bin"/><Relationship Id="rId2" Type="http://schemas.openxmlformats.org/officeDocument/2006/relationships/printerSettings" Target="../printerSettings/printerSettings155.bin"/><Relationship Id="rId1" Type="http://schemas.openxmlformats.org/officeDocument/2006/relationships/printerSettings" Target="../printerSettings/printerSettings154.bin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9.bin"/><Relationship Id="rId2" Type="http://schemas.openxmlformats.org/officeDocument/2006/relationships/printerSettings" Target="../printerSettings/printerSettings158.bin"/><Relationship Id="rId1" Type="http://schemas.openxmlformats.org/officeDocument/2006/relationships/printerSettings" Target="../printerSettings/printerSettings157.bin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2.bin"/><Relationship Id="rId2" Type="http://schemas.openxmlformats.org/officeDocument/2006/relationships/printerSettings" Target="../printerSettings/printerSettings161.bin"/><Relationship Id="rId1" Type="http://schemas.openxmlformats.org/officeDocument/2006/relationships/printerSettings" Target="../printerSettings/printerSettings160.bin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5.bin"/><Relationship Id="rId2" Type="http://schemas.openxmlformats.org/officeDocument/2006/relationships/printerSettings" Target="../printerSettings/printerSettings164.bin"/><Relationship Id="rId1" Type="http://schemas.openxmlformats.org/officeDocument/2006/relationships/printerSettings" Target="../printerSettings/printerSettings163.bin"/></Relationships>
</file>

<file path=xl/worksheets/_rels/sheet5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8.bin"/><Relationship Id="rId2" Type="http://schemas.openxmlformats.org/officeDocument/2006/relationships/printerSettings" Target="../printerSettings/printerSettings167.bin"/><Relationship Id="rId1" Type="http://schemas.openxmlformats.org/officeDocument/2006/relationships/printerSettings" Target="../printerSettings/printerSettings166.bin"/></Relationships>
</file>

<file path=xl/worksheets/_rels/sheet5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1.bin"/><Relationship Id="rId2" Type="http://schemas.openxmlformats.org/officeDocument/2006/relationships/printerSettings" Target="../printerSettings/printerSettings170.bin"/><Relationship Id="rId1" Type="http://schemas.openxmlformats.org/officeDocument/2006/relationships/printerSettings" Target="../printerSettings/printerSettings169.bin"/></Relationships>
</file>

<file path=xl/worksheets/_rels/sheet5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4.bin"/><Relationship Id="rId2" Type="http://schemas.openxmlformats.org/officeDocument/2006/relationships/printerSettings" Target="../printerSettings/printerSettings173.bin"/><Relationship Id="rId1" Type="http://schemas.openxmlformats.org/officeDocument/2006/relationships/printerSettings" Target="../printerSettings/printerSettings172.bin"/></Relationships>
</file>

<file path=xl/worksheets/_rels/sheet5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7.bin"/><Relationship Id="rId2" Type="http://schemas.openxmlformats.org/officeDocument/2006/relationships/printerSettings" Target="../printerSettings/printerSettings176.bin"/><Relationship Id="rId1" Type="http://schemas.openxmlformats.org/officeDocument/2006/relationships/printerSettings" Target="../printerSettings/printerSettings175.bin"/></Relationships>
</file>

<file path=xl/worksheets/_rels/sheet6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0.bin"/><Relationship Id="rId2" Type="http://schemas.openxmlformats.org/officeDocument/2006/relationships/printerSettings" Target="../printerSettings/printerSettings179.bin"/><Relationship Id="rId1" Type="http://schemas.openxmlformats.org/officeDocument/2006/relationships/printerSettings" Target="../printerSettings/printerSettings178.bin"/></Relationships>
</file>

<file path=xl/worksheets/_rels/sheet6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3.bin"/><Relationship Id="rId2" Type="http://schemas.openxmlformats.org/officeDocument/2006/relationships/printerSettings" Target="../printerSettings/printerSettings182.bin"/><Relationship Id="rId1" Type="http://schemas.openxmlformats.org/officeDocument/2006/relationships/printerSettings" Target="../printerSettings/printerSettings181.bin"/></Relationships>
</file>

<file path=xl/worksheets/_rels/sheet6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6.bin"/><Relationship Id="rId2" Type="http://schemas.openxmlformats.org/officeDocument/2006/relationships/printerSettings" Target="../printerSettings/printerSettings185.bin"/><Relationship Id="rId1" Type="http://schemas.openxmlformats.org/officeDocument/2006/relationships/printerSettings" Target="../printerSettings/printerSettings184.bin"/></Relationships>
</file>

<file path=xl/worksheets/_rels/sheet6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9.bin"/><Relationship Id="rId2" Type="http://schemas.openxmlformats.org/officeDocument/2006/relationships/printerSettings" Target="../printerSettings/printerSettings188.bin"/><Relationship Id="rId1" Type="http://schemas.openxmlformats.org/officeDocument/2006/relationships/printerSettings" Target="../printerSettings/printerSettings187.bin"/></Relationships>
</file>

<file path=xl/worksheets/_rels/sheet6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2.bin"/><Relationship Id="rId2" Type="http://schemas.openxmlformats.org/officeDocument/2006/relationships/printerSettings" Target="../printerSettings/printerSettings191.bin"/><Relationship Id="rId1" Type="http://schemas.openxmlformats.org/officeDocument/2006/relationships/printerSettings" Target="../printerSettings/printerSettings190.bin"/></Relationships>
</file>

<file path=xl/worksheets/_rels/sheet6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5.bin"/><Relationship Id="rId2" Type="http://schemas.openxmlformats.org/officeDocument/2006/relationships/printerSettings" Target="../printerSettings/printerSettings194.bin"/><Relationship Id="rId1" Type="http://schemas.openxmlformats.org/officeDocument/2006/relationships/printerSettings" Target="../printerSettings/printerSettings193.bin"/></Relationships>
</file>

<file path=xl/worksheets/_rels/sheet6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8.bin"/><Relationship Id="rId2" Type="http://schemas.openxmlformats.org/officeDocument/2006/relationships/printerSettings" Target="../printerSettings/printerSettings197.bin"/><Relationship Id="rId1" Type="http://schemas.openxmlformats.org/officeDocument/2006/relationships/printerSettings" Target="../printerSettings/printerSettings196.bin"/></Relationships>
</file>

<file path=xl/worksheets/_rels/sheet6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1.bin"/><Relationship Id="rId2" Type="http://schemas.openxmlformats.org/officeDocument/2006/relationships/printerSettings" Target="../printerSettings/printerSettings200.bin"/><Relationship Id="rId1" Type="http://schemas.openxmlformats.org/officeDocument/2006/relationships/printerSettings" Target="../printerSettings/printerSettings199.bin"/></Relationships>
</file>

<file path=xl/worksheets/_rels/sheet6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4.bin"/><Relationship Id="rId2" Type="http://schemas.openxmlformats.org/officeDocument/2006/relationships/printerSettings" Target="../printerSettings/printerSettings203.bin"/><Relationship Id="rId1" Type="http://schemas.openxmlformats.org/officeDocument/2006/relationships/printerSettings" Target="../printerSettings/printerSettings202.bin"/></Relationships>
</file>

<file path=xl/worksheets/_rels/sheet6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7.bin"/><Relationship Id="rId2" Type="http://schemas.openxmlformats.org/officeDocument/2006/relationships/printerSettings" Target="../printerSettings/printerSettings206.bin"/><Relationship Id="rId1" Type="http://schemas.openxmlformats.org/officeDocument/2006/relationships/printerSettings" Target="../printerSettings/printerSettings205.bin"/></Relationships>
</file>

<file path=xl/worksheets/_rels/sheet7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0.bin"/><Relationship Id="rId2" Type="http://schemas.openxmlformats.org/officeDocument/2006/relationships/printerSettings" Target="../printerSettings/printerSettings209.bin"/><Relationship Id="rId1" Type="http://schemas.openxmlformats.org/officeDocument/2006/relationships/printerSettings" Target="../printerSettings/printerSettings208.bin"/></Relationships>
</file>

<file path=xl/worksheets/_rels/sheet7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3.bin"/><Relationship Id="rId2" Type="http://schemas.openxmlformats.org/officeDocument/2006/relationships/printerSettings" Target="../printerSettings/printerSettings212.bin"/><Relationship Id="rId1" Type="http://schemas.openxmlformats.org/officeDocument/2006/relationships/printerSettings" Target="../printerSettings/printerSettings211.bin"/></Relationships>
</file>

<file path=xl/worksheets/_rels/sheet7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6.bin"/><Relationship Id="rId2" Type="http://schemas.openxmlformats.org/officeDocument/2006/relationships/printerSettings" Target="../printerSettings/printerSettings215.bin"/><Relationship Id="rId1" Type="http://schemas.openxmlformats.org/officeDocument/2006/relationships/printerSettings" Target="../printerSettings/printerSettings214.bin"/></Relationships>
</file>

<file path=xl/worksheets/_rels/sheet7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9.bin"/><Relationship Id="rId2" Type="http://schemas.openxmlformats.org/officeDocument/2006/relationships/printerSettings" Target="../printerSettings/printerSettings218.bin"/><Relationship Id="rId1" Type="http://schemas.openxmlformats.org/officeDocument/2006/relationships/printerSettings" Target="../printerSettings/printerSettings217.bin"/></Relationships>
</file>

<file path=xl/worksheets/_rels/sheet7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2.bin"/><Relationship Id="rId2" Type="http://schemas.openxmlformats.org/officeDocument/2006/relationships/printerSettings" Target="../printerSettings/printerSettings221.bin"/><Relationship Id="rId1" Type="http://schemas.openxmlformats.org/officeDocument/2006/relationships/printerSettings" Target="../printerSettings/printerSettings220.bin"/></Relationships>
</file>

<file path=xl/worksheets/_rels/sheet7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5.bin"/><Relationship Id="rId2" Type="http://schemas.openxmlformats.org/officeDocument/2006/relationships/printerSettings" Target="../printerSettings/printerSettings224.bin"/><Relationship Id="rId1" Type="http://schemas.openxmlformats.org/officeDocument/2006/relationships/printerSettings" Target="../printerSettings/printerSettings223.bin"/></Relationships>
</file>

<file path=xl/worksheets/_rels/sheet7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8.bin"/><Relationship Id="rId2" Type="http://schemas.openxmlformats.org/officeDocument/2006/relationships/printerSettings" Target="../printerSettings/printerSettings227.bin"/><Relationship Id="rId1" Type="http://schemas.openxmlformats.org/officeDocument/2006/relationships/printerSettings" Target="../printerSettings/printerSettings226.bin"/></Relationships>
</file>

<file path=xl/worksheets/_rels/sheet7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1.bin"/><Relationship Id="rId2" Type="http://schemas.openxmlformats.org/officeDocument/2006/relationships/printerSettings" Target="../printerSettings/printerSettings230.bin"/><Relationship Id="rId1" Type="http://schemas.openxmlformats.org/officeDocument/2006/relationships/printerSettings" Target="../printerSettings/printerSettings229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AC108"/>
  <sheetViews>
    <sheetView view="pageBreakPreview" topLeftCell="A40" zoomScaleNormal="100" zoomScaleSheetLayoutView="100" workbookViewId="0">
      <selection activeCell="D10" sqref="D10"/>
    </sheetView>
  </sheetViews>
  <sheetFormatPr defaultColWidth="9.140625" defaultRowHeight="12.75" x14ac:dyDescent="0.2"/>
  <cols>
    <col min="1" max="1" width="2.85546875" style="1" customWidth="1"/>
    <col min="2" max="2" width="18.85546875" style="1" customWidth="1"/>
    <col min="3" max="3" width="41" style="1" customWidth="1"/>
    <col min="4" max="4" width="21.140625" style="1" customWidth="1"/>
    <col min="5" max="5" width="19.28515625" style="1" customWidth="1"/>
    <col min="6" max="6" width="8.42578125" style="1" customWidth="1"/>
    <col min="7" max="7" width="9" style="1" customWidth="1"/>
    <col min="8" max="16384" width="9.140625" style="1"/>
  </cols>
  <sheetData>
    <row r="1" spans="1:29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ht="25.5" x14ac:dyDescent="0.2">
      <c r="A2" s="108"/>
      <c r="B2" s="37" t="s">
        <v>654</v>
      </c>
      <c r="C2" s="106" t="s">
        <v>655</v>
      </c>
      <c r="G2" s="2"/>
      <c r="H2" s="4"/>
      <c r="I2" s="4"/>
      <c r="J2" s="4"/>
      <c r="K2" s="4"/>
      <c r="L2" s="4"/>
    </row>
    <row r="3" spans="1:29" x14ac:dyDescent="0.2">
      <c r="A3" s="108"/>
      <c r="B3" s="132"/>
      <c r="C3" s="132"/>
      <c r="D3" s="132"/>
      <c r="E3" s="132"/>
      <c r="F3" s="132"/>
      <c r="G3" s="132"/>
      <c r="H3" s="4"/>
      <c r="I3" s="4"/>
      <c r="J3" s="4"/>
      <c r="K3" s="4"/>
      <c r="L3" s="4"/>
    </row>
    <row r="4" spans="1:29" ht="18" customHeight="1" x14ac:dyDescent="0.2">
      <c r="A4" s="108"/>
      <c r="B4" s="22" t="s">
        <v>656</v>
      </c>
      <c r="C4" s="133" t="s">
        <v>657</v>
      </c>
      <c r="D4" s="134"/>
      <c r="E4" s="134"/>
      <c r="F4" s="134"/>
      <c r="G4" s="134"/>
      <c r="H4" s="135"/>
      <c r="I4" s="4"/>
      <c r="J4" s="4"/>
      <c r="K4" s="4"/>
      <c r="L4" s="4"/>
    </row>
    <row r="5" spans="1:29" x14ac:dyDescent="0.2"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</row>
    <row r="6" spans="1:29" x14ac:dyDescent="0.2">
      <c r="B6" s="1" t="s">
        <v>658</v>
      </c>
      <c r="C6" s="103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</row>
    <row r="7" spans="1:29" x14ac:dyDescent="0.2"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</row>
    <row r="8" spans="1:29" x14ac:dyDescent="0.2">
      <c r="B8" s="1" t="s">
        <v>659</v>
      </c>
      <c r="C8" s="103"/>
      <c r="D8" s="105" t="s">
        <v>660</v>
      </c>
      <c r="E8" s="103"/>
      <c r="G8" s="108"/>
      <c r="H8" s="10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</row>
    <row r="9" spans="1:29" x14ac:dyDescent="0.2">
      <c r="B9" s="1" t="s">
        <v>662</v>
      </c>
      <c r="C9" s="103"/>
      <c r="D9" s="104" t="s">
        <v>661</v>
      </c>
      <c r="E9" s="103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</row>
    <row r="10" spans="1:29" x14ac:dyDescent="0.2">
      <c r="B10" s="1" t="s">
        <v>664</v>
      </c>
      <c r="C10" s="103"/>
      <c r="D10" s="104" t="s">
        <v>663</v>
      </c>
      <c r="E10" s="103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</row>
    <row r="11" spans="1:29" x14ac:dyDescent="0.2">
      <c r="B11" s="1" t="s">
        <v>665</v>
      </c>
      <c r="C11" s="103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</row>
    <row r="12" spans="1:29" x14ac:dyDescent="0.2">
      <c r="B12" s="1" t="s">
        <v>666</v>
      </c>
      <c r="C12" s="103"/>
      <c r="H12" s="98"/>
      <c r="I12" s="98"/>
      <c r="J12" s="4"/>
      <c r="K12" s="4"/>
      <c r="L12" s="4"/>
    </row>
    <row r="13" spans="1:29" x14ac:dyDescent="0.2">
      <c r="B13" s="1" t="s">
        <v>667</v>
      </c>
      <c r="C13" s="103"/>
      <c r="H13" s="98"/>
      <c r="I13" s="98"/>
      <c r="J13" s="98"/>
      <c r="K13" s="98"/>
      <c r="L13" s="98"/>
    </row>
    <row r="14" spans="1:29" x14ac:dyDescent="0.2">
      <c r="B14" s="1" t="s">
        <v>668</v>
      </c>
      <c r="C14" s="103"/>
      <c r="H14" s="98"/>
      <c r="I14" s="98"/>
      <c r="J14" s="98"/>
      <c r="K14" s="98"/>
      <c r="L14" s="98"/>
    </row>
    <row r="15" spans="1:29" x14ac:dyDescent="0.2">
      <c r="H15" s="98"/>
      <c r="I15" s="98"/>
      <c r="J15" s="97"/>
      <c r="K15" s="97"/>
      <c r="L15" s="97"/>
    </row>
    <row r="16" spans="1:29" ht="15" customHeight="1" x14ac:dyDescent="0.2">
      <c r="B16" s="142" t="s">
        <v>669</v>
      </c>
      <c r="C16" s="142"/>
      <c r="D16" s="142"/>
      <c r="H16" s="98"/>
      <c r="I16" s="98"/>
      <c r="J16" s="97"/>
      <c r="K16" s="97"/>
      <c r="L16" s="97"/>
    </row>
    <row r="17" spans="2:29" ht="27" customHeight="1" x14ac:dyDescent="0.2">
      <c r="B17" s="23" t="s">
        <v>670</v>
      </c>
      <c r="C17" s="107"/>
      <c r="D17" s="23" t="s">
        <v>671</v>
      </c>
      <c r="E17" s="139"/>
      <c r="F17" s="140"/>
      <c r="G17" s="140"/>
      <c r="H17" s="141"/>
      <c r="I17" s="98"/>
      <c r="J17" s="98"/>
      <c r="K17" s="98"/>
      <c r="L17" s="98"/>
    </row>
    <row r="18" spans="2:29" ht="13.5" thickBot="1" x14ac:dyDescent="0.25">
      <c r="H18" s="98"/>
      <c r="I18" s="98"/>
      <c r="J18" s="97"/>
      <c r="K18" s="97"/>
      <c r="L18" s="97"/>
    </row>
    <row r="19" spans="2:29" ht="96.6" customHeight="1" thickBot="1" x14ac:dyDescent="0.25">
      <c r="B19" s="137" t="s">
        <v>672</v>
      </c>
      <c r="C19" s="138"/>
      <c r="E19" s="99"/>
      <c r="H19" s="98"/>
      <c r="I19" s="98"/>
      <c r="J19" s="97"/>
      <c r="K19" s="97"/>
      <c r="L19" s="97"/>
    </row>
    <row r="20" spans="2:29" x14ac:dyDescent="0.2">
      <c r="C20" s="12"/>
      <c r="D20" s="12"/>
      <c r="E20" s="12"/>
      <c r="F20" s="12"/>
      <c r="G20" s="12"/>
      <c r="H20" s="98"/>
      <c r="I20" s="98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2:29" ht="13.15" customHeight="1" x14ac:dyDescent="0.2">
      <c r="B21" s="136" t="s">
        <v>2</v>
      </c>
      <c r="C21" s="136"/>
      <c r="D21" s="136"/>
      <c r="E21" s="136"/>
      <c r="F21" s="136"/>
      <c r="G21" s="136"/>
      <c r="H21" s="98"/>
      <c r="I21" s="98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2:29" x14ac:dyDescent="0.2">
      <c r="B22" s="99"/>
      <c r="C22" s="100"/>
      <c r="D22" s="100"/>
      <c r="E22" s="100"/>
      <c r="F22" s="100"/>
      <c r="G22" s="100"/>
      <c r="H22" s="98"/>
      <c r="I22" s="98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2:29" x14ac:dyDescent="0.2">
      <c r="B23" s="18" t="s">
        <v>3</v>
      </c>
      <c r="C23" s="19" t="s">
        <v>176</v>
      </c>
      <c r="D23" s="19" t="s">
        <v>177</v>
      </c>
      <c r="E23" s="19" t="s">
        <v>178</v>
      </c>
      <c r="F23" s="100"/>
      <c r="G23" s="100"/>
      <c r="H23" s="98"/>
      <c r="I23" s="98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2:29" ht="24.75" customHeight="1" x14ac:dyDescent="0.2">
      <c r="B24" s="101">
        <f>'Część nr 1'!$C$2</f>
        <v>1</v>
      </c>
      <c r="C24" s="17" t="str">
        <f>'Część nr 1'!$C$4</f>
        <v>Aparaty EKG</v>
      </c>
      <c r="D24" s="20"/>
      <c r="E24" s="20"/>
      <c r="F24" s="100"/>
      <c r="G24" s="100"/>
      <c r="H24" s="98"/>
      <c r="I24" s="98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2:29" ht="24.75" customHeight="1" x14ac:dyDescent="0.2">
      <c r="B25" s="102">
        <f>'Część nr 2'!$C$2</f>
        <v>2</v>
      </c>
      <c r="C25" s="17" t="str">
        <f>'Część nr 2'!$C$4</f>
        <v>Aparatura do histopatologii I</v>
      </c>
      <c r="D25" s="20"/>
      <c r="E25" s="20"/>
      <c r="F25" s="100"/>
      <c r="G25" s="100"/>
      <c r="H25" s="98"/>
      <c r="I25" s="98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</row>
    <row r="26" spans="2:29" ht="24.75" customHeight="1" x14ac:dyDescent="0.2">
      <c r="B26" s="102">
        <f>'Część nr 3'!$C$2</f>
        <v>3</v>
      </c>
      <c r="C26" s="17" t="str">
        <f>'Część nr 3'!$C$4</f>
        <v>Aparatura do histopatologii II</v>
      </c>
      <c r="D26" s="20"/>
      <c r="E26" s="20"/>
      <c r="F26" s="100"/>
      <c r="G26" s="100"/>
      <c r="H26" s="98"/>
      <c r="I26" s="98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</row>
    <row r="27" spans="2:29" ht="24.75" customHeight="1" x14ac:dyDescent="0.2">
      <c r="B27" s="102">
        <f>'Część nr 4'!$C$2</f>
        <v>4</v>
      </c>
      <c r="C27" s="17" t="str">
        <f>'Część nr 4'!$C$4</f>
        <v>Urządzenia Maquet</v>
      </c>
      <c r="D27" s="20"/>
      <c r="E27" s="20"/>
      <c r="F27" s="100"/>
      <c r="G27" s="100"/>
      <c r="H27" s="98"/>
      <c r="I27" s="98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</row>
    <row r="28" spans="2:29" ht="24.75" customHeight="1" x14ac:dyDescent="0.2">
      <c r="B28" s="102">
        <f>'Część nr 5'!$C$2</f>
        <v>5</v>
      </c>
      <c r="C28" s="17" t="str">
        <f>'Część nr 5'!$C$4</f>
        <v>Sprzęt endoskopowy Olympus</v>
      </c>
      <c r="D28" s="20"/>
      <c r="E28" s="20"/>
      <c r="F28" s="100"/>
      <c r="G28" s="100"/>
      <c r="H28" s="98"/>
      <c r="I28" s="98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</row>
    <row r="29" spans="2:29" ht="24.75" customHeight="1" x14ac:dyDescent="0.2">
      <c r="B29" s="102">
        <f>'Część nr 6'!$C$2</f>
        <v>6</v>
      </c>
      <c r="C29" s="17" t="str">
        <f>'Część nr 6'!$C$4</f>
        <v>System do radiografii próbek biopsyjnych</v>
      </c>
      <c r="D29" s="20"/>
      <c r="E29" s="20"/>
      <c r="F29" s="13"/>
      <c r="G29" s="13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</row>
    <row r="30" spans="2:29" ht="24.75" customHeight="1" x14ac:dyDescent="0.2">
      <c r="B30" s="102">
        <f>'Część nr 7'!$C$2</f>
        <v>7</v>
      </c>
      <c r="C30" s="17" t="str">
        <f>'Część nr 7'!$C$4</f>
        <v>Wstrzykiwacze kontrastu</v>
      </c>
      <c r="D30" s="20"/>
      <c r="E30" s="20"/>
      <c r="F30" s="13"/>
      <c r="G30" s="13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</row>
    <row r="31" spans="2:29" ht="24.75" customHeight="1" x14ac:dyDescent="0.2">
      <c r="B31" s="102">
        <f>'Część nr 8'!$C$2</f>
        <v>8</v>
      </c>
      <c r="C31" s="17" t="str">
        <f>'Część nr 8'!$C$4</f>
        <v>Aparaty do znieczulania Draeger</v>
      </c>
      <c r="D31" s="20"/>
      <c r="E31" s="20"/>
      <c r="F31" s="13"/>
      <c r="G31" s="13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</row>
    <row r="32" spans="2:29" ht="24.75" customHeight="1" x14ac:dyDescent="0.2">
      <c r="B32" s="102">
        <f>'Część nr 9'!$C$2</f>
        <v>9</v>
      </c>
      <c r="C32" s="17" t="str">
        <f>'Część nr 9'!$C$4</f>
        <v>Aparaty do znieczulania Anmedic</v>
      </c>
      <c r="D32" s="20"/>
      <c r="E32" s="20"/>
      <c r="F32" s="13"/>
      <c r="G32" s="13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</row>
    <row r="33" spans="2:29" ht="24.75" customHeight="1" x14ac:dyDescent="0.2">
      <c r="B33" s="102">
        <f>'Część nr 10'!$C$2</f>
        <v>10</v>
      </c>
      <c r="C33" s="17" t="str">
        <f>'Część nr 10'!$C$4</f>
        <v>Aparaty elektrochirurgiczne Emed</v>
      </c>
      <c r="D33" s="20"/>
      <c r="E33" s="20"/>
      <c r="F33" s="13"/>
      <c r="G33" s="13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</row>
    <row r="34" spans="2:29" ht="24.75" customHeight="1" x14ac:dyDescent="0.2">
      <c r="B34" s="102">
        <f>'Część nr 11'!$C$2</f>
        <v>11</v>
      </c>
      <c r="C34" s="17" t="str">
        <f>'Część nr 11'!$C$4</f>
        <v>Aparaty elektrochirurgiczne Valleylab</v>
      </c>
      <c r="D34" s="20"/>
      <c r="E34" s="20"/>
      <c r="F34" s="13"/>
      <c r="G34" s="13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</row>
    <row r="35" spans="2:29" ht="24.75" customHeight="1" x14ac:dyDescent="0.2">
      <c r="B35" s="102">
        <f>'Część nr 12'!$C$2</f>
        <v>12</v>
      </c>
      <c r="C35" s="17" t="str">
        <f>'Część nr 12'!$C$4</f>
        <v>Aparaty elektrochirurgiczne Erbe</v>
      </c>
      <c r="D35" s="20"/>
      <c r="E35" s="20"/>
      <c r="F35" s="13"/>
      <c r="G35" s="13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</row>
    <row r="36" spans="2:29" ht="24.75" customHeight="1" x14ac:dyDescent="0.2">
      <c r="B36" s="102">
        <f>'Część nr 13'!$C$2</f>
        <v>13</v>
      </c>
      <c r="C36" s="17" t="str">
        <f>'Część nr 13'!$C$4</f>
        <v>Aparaty USG</v>
      </c>
      <c r="D36" s="20"/>
      <c r="E36" s="20"/>
      <c r="F36" s="13"/>
      <c r="G36" s="13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</row>
    <row r="37" spans="2:29" ht="24.75" customHeight="1" x14ac:dyDescent="0.2">
      <c r="B37" s="102">
        <f>'Część nr 14'!$C$2</f>
        <v>14</v>
      </c>
      <c r="C37" s="17" t="str">
        <f>'Część nr 14'!$C$4</f>
        <v>Respirator Viasys</v>
      </c>
      <c r="D37" s="20"/>
      <c r="E37" s="20"/>
      <c r="F37" s="13"/>
      <c r="G37" s="13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</row>
    <row r="38" spans="2:29" ht="24.75" customHeight="1" x14ac:dyDescent="0.2">
      <c r="B38" s="102">
        <f>'Część nr 15'!$C$2</f>
        <v>15</v>
      </c>
      <c r="C38" s="17" t="str">
        <f>'Część nr 15'!$C$4</f>
        <v>Detektory promieniowania gamma</v>
      </c>
      <c r="D38" s="20"/>
      <c r="E38" s="20"/>
      <c r="F38" s="13"/>
      <c r="G38" s="13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</row>
    <row r="39" spans="2:29" ht="24.75" customHeight="1" x14ac:dyDescent="0.2">
      <c r="B39" s="102">
        <f>'Część nr 16'!$C$2</f>
        <v>16</v>
      </c>
      <c r="C39" s="17" t="str">
        <f>'Część nr 16'!$C$4</f>
        <v>Zestawy laparoskopowe Aesculap</v>
      </c>
      <c r="D39" s="20"/>
      <c r="E39" s="20"/>
      <c r="F39" s="13"/>
      <c r="G39" s="13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</row>
    <row r="40" spans="2:29" ht="24.75" customHeight="1" x14ac:dyDescent="0.2">
      <c r="B40" s="102">
        <f>'Część nr 17'!$C$2</f>
        <v>17</v>
      </c>
      <c r="C40" s="17" t="str">
        <f>'Część nr 17'!$C$4</f>
        <v>Mikrotomy</v>
      </c>
      <c r="D40" s="20"/>
      <c r="E40" s="20"/>
      <c r="F40" s="13"/>
      <c r="G40" s="13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</row>
    <row r="41" spans="2:29" ht="24.75" customHeight="1" x14ac:dyDescent="0.2">
      <c r="B41" s="102">
        <f>'Część nr 18'!$C$2</f>
        <v>18</v>
      </c>
      <c r="C41" s="17" t="str">
        <f>'Część nr 18'!$C$4</f>
        <v>Urządzenia Mindray</v>
      </c>
      <c r="D41" s="20"/>
      <c r="E41" s="20"/>
      <c r="F41" s="13"/>
      <c r="G41" s="13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</row>
    <row r="42" spans="2:29" ht="24.75" customHeight="1" x14ac:dyDescent="0.2">
      <c r="B42" s="102">
        <f>'Część nr 19'!$C$2</f>
        <v>19</v>
      </c>
      <c r="C42" s="17" t="str">
        <f>'Część nr 19'!$C$4</f>
        <v>Sprzęt monitorowania parametrów życiowych</v>
      </c>
      <c r="D42" s="20"/>
      <c r="E42" s="20"/>
      <c r="F42" s="13"/>
      <c r="G42" s="13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</row>
    <row r="43" spans="2:29" ht="24.75" customHeight="1" x14ac:dyDescent="0.2">
      <c r="B43" s="102">
        <f>'Część nr 20'!$C$2</f>
        <v>20</v>
      </c>
      <c r="C43" s="17" t="str">
        <f>'Część nr 20'!$C$4</f>
        <v>Defibrylatory</v>
      </c>
      <c r="D43" s="20"/>
      <c r="E43" s="20"/>
      <c r="F43" s="13"/>
      <c r="G43" s="13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</row>
    <row r="44" spans="2:29" ht="24.75" customHeight="1" x14ac:dyDescent="0.2">
      <c r="B44" s="102">
        <f>'Część nr 21'!$C$2</f>
        <v>21</v>
      </c>
      <c r="C44" s="17" t="str">
        <f>'Część nr 21'!$C$4</f>
        <v>Pompy infuzyjne Braun</v>
      </c>
      <c r="D44" s="20"/>
      <c r="E44" s="20"/>
      <c r="F44" s="13"/>
      <c r="G44" s="13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</row>
    <row r="45" spans="2:29" ht="24.75" customHeight="1" x14ac:dyDescent="0.2">
      <c r="B45" s="102">
        <f>'Część nr 22'!$C$2</f>
        <v>22</v>
      </c>
      <c r="C45" s="17" t="str">
        <f>'Część nr 22'!$C$4</f>
        <v>Myjnie endoskopowe, szafa do suszenia endoskopów</v>
      </c>
      <c r="D45" s="20"/>
      <c r="E45" s="20"/>
      <c r="F45" s="13"/>
      <c r="G45" s="13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</row>
    <row r="46" spans="2:29" ht="24.75" customHeight="1" x14ac:dyDescent="0.2">
      <c r="B46" s="102">
        <f>'Część nr 23'!$C$2</f>
        <v>23</v>
      </c>
      <c r="C46" s="17" t="str">
        <f>'Część nr 23'!$C$4</f>
        <v>Sterylizator plazmowy</v>
      </c>
      <c r="D46" s="20"/>
      <c r="E46" s="20"/>
      <c r="F46" s="13"/>
      <c r="G46" s="13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</row>
    <row r="47" spans="2:29" ht="24.75" customHeight="1" x14ac:dyDescent="0.2">
      <c r="B47" s="102">
        <f>'Część nr 24'!$C$2</f>
        <v>24</v>
      </c>
      <c r="C47" s="17" t="str">
        <f>'Część nr 24'!$C$4</f>
        <v>Urządzenia sterylizacji parowej</v>
      </c>
      <c r="D47" s="20"/>
      <c r="E47" s="20"/>
      <c r="F47" s="13"/>
      <c r="G47" s="13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</row>
    <row r="48" spans="2:29" ht="24.75" customHeight="1" x14ac:dyDescent="0.2">
      <c r="B48" s="102">
        <f>'Część nr 25'!$C$2</f>
        <v>25</v>
      </c>
      <c r="C48" s="17" t="str">
        <f>'Część nr 25'!$C$4</f>
        <v>Urządzenia Centralnej Sterylizatorni</v>
      </c>
      <c r="D48" s="20"/>
      <c r="E48" s="20"/>
      <c r="F48" s="13"/>
      <c r="G48" s="13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</row>
    <row r="49" spans="2:29" ht="24.75" customHeight="1" x14ac:dyDescent="0.2">
      <c r="B49" s="102">
        <f>'Część nr 26'!$C$2</f>
        <v>26</v>
      </c>
      <c r="C49" s="17" t="str">
        <f>'Część nr 26'!$C$4</f>
        <v>Komory laminarne I</v>
      </c>
      <c r="D49" s="20"/>
      <c r="E49" s="20"/>
      <c r="F49" s="13"/>
      <c r="G49" s="13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</row>
    <row r="50" spans="2:29" ht="24.75" customHeight="1" x14ac:dyDescent="0.2">
      <c r="B50" s="102">
        <f>'Część nr 27'!$C$2</f>
        <v>27</v>
      </c>
      <c r="C50" s="17" t="str">
        <f>'Część nr 27'!$C$4</f>
        <v>Aparaty rtg Siemens</v>
      </c>
      <c r="D50" s="20"/>
      <c r="E50" s="20"/>
      <c r="F50" s="13"/>
      <c r="G50" s="13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</row>
    <row r="51" spans="2:29" ht="24.75" customHeight="1" x14ac:dyDescent="0.2">
      <c r="B51" s="102">
        <f>'Część nr 28'!$C$2</f>
        <v>28</v>
      </c>
      <c r="C51" s="17" t="str">
        <f>'Część nr 28'!$C$4</f>
        <v>Mammograf, kardiomonitor GE</v>
      </c>
      <c r="D51" s="20"/>
      <c r="E51" s="20"/>
      <c r="F51" s="13"/>
      <c r="G51" s="13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</row>
    <row r="52" spans="2:29" ht="24.75" customHeight="1" x14ac:dyDescent="0.2">
      <c r="B52" s="102">
        <f>'Część nr 29'!$C$2</f>
        <v>29</v>
      </c>
      <c r="C52" s="17" t="str">
        <f>'Część nr 29'!$C$4</f>
        <v>Urządzenia ZdAJ</v>
      </c>
      <c r="D52" s="20"/>
      <c r="E52" s="20"/>
      <c r="F52" s="13"/>
      <c r="G52" s="13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</row>
    <row r="53" spans="2:29" ht="24.75" customHeight="1" x14ac:dyDescent="0.2">
      <c r="B53" s="102">
        <f>'Część nr 30'!$C$2</f>
        <v>30</v>
      </c>
      <c r="C53" s="17" t="str">
        <f>'Część nr 30'!$C$4</f>
        <v>Inkubatory CO2, cieplarki Incucell</v>
      </c>
      <c r="D53" s="20"/>
      <c r="E53" s="20"/>
      <c r="F53" s="13"/>
      <c r="G53" s="13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</row>
    <row r="54" spans="2:29" ht="24.75" customHeight="1" x14ac:dyDescent="0.2">
      <c r="B54" s="102">
        <f>'Część nr 31'!$C$2</f>
        <v>31</v>
      </c>
      <c r="C54" s="17" t="str">
        <f>'Część nr 31'!$C$4</f>
        <v>Cytometr przepływowy</v>
      </c>
      <c r="D54" s="20"/>
      <c r="E54" s="20"/>
      <c r="F54" s="13"/>
      <c r="G54" s="13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</row>
    <row r="55" spans="2:29" ht="24.75" customHeight="1" x14ac:dyDescent="0.2">
      <c r="B55" s="102">
        <f>'Część nr 32'!$C$2</f>
        <v>32</v>
      </c>
      <c r="C55" s="17" t="str">
        <f>'Część nr 32'!$C$4</f>
        <v>Aparat do suchego rozmrażania osocza</v>
      </c>
      <c r="D55" s="20"/>
      <c r="E55" s="20"/>
      <c r="F55" s="13"/>
      <c r="G55" s="13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</row>
    <row r="56" spans="2:29" ht="24.75" customHeight="1" x14ac:dyDescent="0.2">
      <c r="B56" s="102">
        <f>'Część nr 33'!$C$2</f>
        <v>33</v>
      </c>
      <c r="C56" s="17" t="str">
        <f>'Część nr 33'!$C$4</f>
        <v>Myjnie-dezynfektory do kaczek i basenów Steelco</v>
      </c>
      <c r="D56" s="20"/>
      <c r="E56" s="20"/>
      <c r="F56" s="13"/>
      <c r="G56" s="13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</row>
    <row r="57" spans="2:29" ht="24.75" customHeight="1" x14ac:dyDescent="0.2">
      <c r="B57" s="102">
        <f>'Część nr 34'!$C$2</f>
        <v>34</v>
      </c>
      <c r="C57" s="17" t="str">
        <f>'Część nr 34'!$C$4</f>
        <v>Aparat do hipertermii</v>
      </c>
      <c r="D57" s="20"/>
      <c r="E57" s="20"/>
      <c r="F57" s="13"/>
      <c r="G57" s="13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</row>
    <row r="58" spans="2:29" ht="24.75" customHeight="1" x14ac:dyDescent="0.2">
      <c r="B58" s="102">
        <f>'Część nr 35'!$C$2</f>
        <v>35</v>
      </c>
      <c r="C58" s="17" t="str">
        <f>'Część nr 35'!$C$4</f>
        <v>Komory manipulacyjne</v>
      </c>
      <c r="D58" s="20"/>
      <c r="E58" s="20"/>
      <c r="F58" s="13"/>
      <c r="G58" s="13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</row>
    <row r="59" spans="2:29" ht="24.75" customHeight="1" x14ac:dyDescent="0.2">
      <c r="B59" s="102">
        <f>'Część nr 36'!$C$2</f>
        <v>36</v>
      </c>
      <c r="C59" s="17" t="str">
        <f>'Część nr 36'!$C$4</f>
        <v>Systemy do planowania leczenia</v>
      </c>
      <c r="D59" s="20"/>
      <c r="E59" s="20"/>
      <c r="F59" s="13"/>
      <c r="G59" s="13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</row>
    <row r="60" spans="2:29" ht="24.75" customHeight="1" x14ac:dyDescent="0.2">
      <c r="B60" s="102">
        <f>'Część nr 37'!$C$2</f>
        <v>37</v>
      </c>
      <c r="C60" s="17" t="str">
        <f>'Część nr 37'!$C$4</f>
        <v>Drukarki do klisz</v>
      </c>
      <c r="D60" s="20"/>
      <c r="E60" s="20"/>
      <c r="F60" s="13"/>
      <c r="G60" s="13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</row>
    <row r="61" spans="2:29" ht="24.75" customHeight="1" x14ac:dyDescent="0.2">
      <c r="B61" s="102">
        <f>'Część nr 38'!$C$2</f>
        <v>38</v>
      </c>
      <c r="C61" s="17" t="str">
        <f>'Część nr 38'!$C$4</f>
        <v>Urządzenia do biopsji mammotomicznej</v>
      </c>
      <c r="D61" s="20"/>
      <c r="E61" s="20"/>
      <c r="F61" s="13"/>
      <c r="G61" s="13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</row>
    <row r="62" spans="2:29" ht="24.75" customHeight="1" x14ac:dyDescent="0.2">
      <c r="B62" s="102">
        <f>'Część nr 39'!$C$2</f>
        <v>39</v>
      </c>
      <c r="C62" s="17" t="str">
        <f>'Część nr 39'!$C$4</f>
        <v>Aparat rtg Ziehm</v>
      </c>
      <c r="D62" s="20"/>
      <c r="E62" s="20"/>
      <c r="F62" s="13"/>
      <c r="G62" s="13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</row>
    <row r="63" spans="2:29" ht="24.75" customHeight="1" x14ac:dyDescent="0.2">
      <c r="B63" s="102">
        <f>'Część nr 40'!$C$2</f>
        <v>40</v>
      </c>
      <c r="C63" s="17" t="str">
        <f>'Część nr 40'!$C$4</f>
        <v>Myjnia-dezynfektor do kaczek i basenów Getinge</v>
      </c>
      <c r="D63" s="20"/>
      <c r="E63" s="20"/>
      <c r="F63" s="13"/>
      <c r="G63" s="13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</row>
    <row r="64" spans="2:29" ht="24.75" customHeight="1" x14ac:dyDescent="0.2">
      <c r="B64" s="102">
        <f>'Część nr 41'!$C$2</f>
        <v>41</v>
      </c>
      <c r="C64" s="17" t="str">
        <f>'Część nr 41'!$C$4</f>
        <v>Aparat do znieczulania Taema</v>
      </c>
      <c r="D64" s="20"/>
      <c r="E64" s="20"/>
      <c r="F64" s="13"/>
      <c r="G64" s="13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</row>
    <row r="65" spans="2:29" ht="24.75" customHeight="1" x14ac:dyDescent="0.2">
      <c r="B65" s="102">
        <f>'Część nr 42'!$C$2</f>
        <v>42</v>
      </c>
      <c r="C65" s="17" t="str">
        <f>'Część nr 42'!$C$4</f>
        <v>Respiratory Covidien</v>
      </c>
      <c r="D65" s="20"/>
      <c r="E65" s="20"/>
      <c r="F65" s="13"/>
      <c r="G65" s="13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</row>
    <row r="66" spans="2:29" ht="24.75" customHeight="1" x14ac:dyDescent="0.2">
      <c r="B66" s="102">
        <f>'Część nr 43'!$C$2</f>
        <v>43</v>
      </c>
      <c r="C66" s="17" t="str">
        <f>'Część nr 43'!$C$4</f>
        <v>Zestawy endoskopowe Karl Storz</v>
      </c>
      <c r="D66" s="20"/>
      <c r="E66" s="20"/>
      <c r="F66" s="13"/>
      <c r="G66" s="13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</row>
    <row r="67" spans="2:29" ht="24.75" customHeight="1" x14ac:dyDescent="0.2">
      <c r="B67" s="102">
        <f>'Część nr 44'!$C$2</f>
        <v>44</v>
      </c>
      <c r="C67" s="17" t="str">
        <f>'Część nr 44'!$C$4</f>
        <v>Myjnia dezynfektor do kaczek i basenów Franke</v>
      </c>
      <c r="D67" s="20"/>
      <c r="E67" s="20"/>
      <c r="F67" s="13"/>
      <c r="G67" s="13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</row>
    <row r="68" spans="2:29" ht="24.75" customHeight="1" x14ac:dyDescent="0.2">
      <c r="B68" s="102">
        <f>'Część nr 45'!$C$2</f>
        <v>45</v>
      </c>
      <c r="C68" s="17" t="str">
        <f>'Część nr 45'!$C$4</f>
        <v>Morcelator Richard Wolf</v>
      </c>
      <c r="D68" s="20"/>
      <c r="E68" s="20"/>
      <c r="F68" s="13"/>
      <c r="G68" s="13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</row>
    <row r="69" spans="2:29" ht="24.75" customHeight="1" x14ac:dyDescent="0.2">
      <c r="B69" s="102">
        <f>'Część nr 46'!$C$2</f>
        <v>46</v>
      </c>
      <c r="C69" s="17" t="str">
        <f>'Część nr 46'!$C$4</f>
        <v>Nóż harmoniczny</v>
      </c>
      <c r="D69" s="20"/>
      <c r="E69" s="20"/>
      <c r="F69" s="13"/>
      <c r="G69" s="13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</row>
    <row r="70" spans="2:29" ht="24.75" customHeight="1" x14ac:dyDescent="0.2">
      <c r="B70" s="102">
        <f>'Część nr 47'!$C$2</f>
        <v>47</v>
      </c>
      <c r="C70" s="17" t="str">
        <f>'Część nr 47'!$C$4</f>
        <v>Aspirator ultradźwiękowy</v>
      </c>
      <c r="D70" s="20"/>
      <c r="E70" s="20"/>
      <c r="F70" s="13"/>
      <c r="G70" s="13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</row>
    <row r="71" spans="2:29" ht="24.75" customHeight="1" x14ac:dyDescent="0.2">
      <c r="B71" s="102">
        <f>'Część nr 48'!$C$2</f>
        <v>48</v>
      </c>
      <c r="C71" s="17" t="str">
        <f>'Część nr 48'!$C$4</f>
        <v>Kardiomonitor do pomiarów hemodynamicznych serca</v>
      </c>
      <c r="D71" s="20"/>
      <c r="E71" s="20"/>
      <c r="F71" s="13"/>
      <c r="G71" s="13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</row>
    <row r="72" spans="2:29" ht="24.75" customHeight="1" x14ac:dyDescent="0.2">
      <c r="B72" s="102">
        <f>'Część nr 49'!$C$2</f>
        <v>49</v>
      </c>
      <c r="C72" s="17" t="str">
        <f>'Część nr 49'!$C$4</f>
        <v>Łóżka szpitalne elektryczne</v>
      </c>
      <c r="D72" s="20"/>
      <c r="E72" s="20"/>
      <c r="F72" s="13"/>
      <c r="G72" s="13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</row>
    <row r="73" spans="2:29" ht="24.75" customHeight="1" x14ac:dyDescent="0.2">
      <c r="B73" s="102">
        <f>'Część nr 50'!$C$2</f>
        <v>50</v>
      </c>
      <c r="C73" s="17" t="str">
        <f>'Część nr 50'!$C$4</f>
        <v>Łóżka intensywnej opieki medycznej</v>
      </c>
      <c r="D73" s="20"/>
      <c r="E73" s="20"/>
      <c r="F73" s="13"/>
      <c r="G73" s="13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</row>
    <row r="74" spans="2:29" ht="24.75" customHeight="1" x14ac:dyDescent="0.2">
      <c r="B74" s="102">
        <f>'Część nr 51'!$C$2</f>
        <v>51</v>
      </c>
      <c r="C74" s="17" t="str">
        <f>'Część nr 51'!$C$4</f>
        <v>Sprzęt endoskopowy Pentax</v>
      </c>
      <c r="D74" s="20"/>
      <c r="E74" s="20"/>
      <c r="F74" s="13"/>
      <c r="G74" s="13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</row>
    <row r="75" spans="2:29" ht="24.75" customHeight="1" x14ac:dyDescent="0.2">
      <c r="B75" s="102">
        <f>'Część nr 52'!$C$2</f>
        <v>52</v>
      </c>
      <c r="C75" s="17" t="str">
        <f>'Część nr 52'!$C$4</f>
        <v>Laser do udrażniania światła oskrzeli</v>
      </c>
      <c r="D75" s="20"/>
      <c r="E75" s="20"/>
      <c r="F75" s="13"/>
      <c r="G75" s="13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</row>
    <row r="76" spans="2:29" ht="24.75" customHeight="1" x14ac:dyDescent="0.2">
      <c r="B76" s="102">
        <f>'Część nr 53'!$C$2</f>
        <v>53</v>
      </c>
      <c r="C76" s="17" t="str">
        <f>'Część nr 53'!$C$4</f>
        <v>Ciśnieniomierze</v>
      </c>
      <c r="D76" s="20"/>
      <c r="E76" s="20"/>
      <c r="F76" s="13"/>
      <c r="G76" s="13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</row>
    <row r="77" spans="2:29" ht="24.75" customHeight="1" x14ac:dyDescent="0.2">
      <c r="B77" s="102">
        <f>'Część nr 54'!$C$2</f>
        <v>54</v>
      </c>
      <c r="C77" s="17" t="str">
        <f>'Część nr 54'!$C$4</f>
        <v>Aparat do znieczulania Mindray</v>
      </c>
      <c r="D77" s="20"/>
      <c r="E77" s="20"/>
      <c r="F77" s="95"/>
      <c r="G77" s="13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</row>
    <row r="78" spans="2:29" ht="24.75" customHeight="1" x14ac:dyDescent="0.2">
      <c r="B78" s="102">
        <f>'Część nr 55'!$C$2</f>
        <v>55</v>
      </c>
      <c r="C78" s="17" t="str">
        <f>'Część nr 55'!$C$4</f>
        <v>System transportu pacjenta</v>
      </c>
      <c r="D78" s="20"/>
      <c r="E78" s="20"/>
      <c r="F78" s="95"/>
      <c r="G78" s="13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</row>
    <row r="79" spans="2:29" ht="24.75" customHeight="1" x14ac:dyDescent="0.2">
      <c r="B79" s="102">
        <f>'Część nr 56'!$C$2</f>
        <v>56</v>
      </c>
      <c r="C79" s="17" t="str">
        <f>'Część nr 56'!$C$4</f>
        <v>Mikroskopy</v>
      </c>
      <c r="D79" s="20"/>
      <c r="E79" s="20"/>
      <c r="F79" s="95"/>
      <c r="G79" s="13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</row>
    <row r="80" spans="2:29" ht="24.75" customHeight="1" x14ac:dyDescent="0.2">
      <c r="B80" s="102">
        <f>'Część nr 57'!$C$2</f>
        <v>57</v>
      </c>
      <c r="C80" s="17" t="str">
        <f>'Część nr 57'!$C$4</f>
        <v>Pipety</v>
      </c>
      <c r="D80" s="20"/>
      <c r="E80" s="20"/>
      <c r="F80" s="95"/>
      <c r="G80" s="13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</row>
    <row r="81" spans="2:29" ht="24.75" customHeight="1" x14ac:dyDescent="0.2">
      <c r="B81" s="102">
        <f>'Część nr 58'!$C$2</f>
        <v>58</v>
      </c>
      <c r="C81" s="17" t="str">
        <f>'Część nr 58'!$C$4</f>
        <v>Detektor promieniowania gamma</v>
      </c>
      <c r="D81" s="20"/>
      <c r="E81" s="20"/>
      <c r="F81" s="95"/>
      <c r="G81" s="13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</row>
    <row r="82" spans="2:29" ht="24.75" customHeight="1" x14ac:dyDescent="0.2">
      <c r="B82" s="102">
        <f>'Część nr 59'!$C$2</f>
        <v>59</v>
      </c>
      <c r="C82" s="17" t="str">
        <f>'Część nr 59'!$C$4</f>
        <v>Generator do termoablacji</v>
      </c>
      <c r="D82" s="20"/>
      <c r="E82" s="20"/>
      <c r="F82" s="95"/>
      <c r="G82" s="13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</row>
    <row r="83" spans="2:29" ht="24.75" customHeight="1" x14ac:dyDescent="0.2">
      <c r="B83" s="102">
        <f>'Część nr 60'!$C$2</f>
        <v>60</v>
      </c>
      <c r="C83" s="17" t="str">
        <f>'Część nr 60'!$C$4</f>
        <v>Performer hipertermii</v>
      </c>
      <c r="D83" s="20"/>
      <c r="E83" s="20"/>
      <c r="F83" s="13"/>
      <c r="G83" s="13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</row>
    <row r="84" spans="2:29" ht="24.75" customHeight="1" x14ac:dyDescent="0.2">
      <c r="B84" s="102">
        <f>'Część nr 61'!$C$2</f>
        <v>61</v>
      </c>
      <c r="C84" s="17" t="str">
        <f>'Część nr 61'!$C$4</f>
        <v>System obrazowania VS3 Iridium</v>
      </c>
      <c r="D84" s="20"/>
      <c r="E84" s="20"/>
      <c r="F84" s="13"/>
      <c r="G84" s="13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</row>
    <row r="85" spans="2:29" ht="24.75" customHeight="1" x14ac:dyDescent="0.2">
      <c r="B85" s="102">
        <f>'Część nr 62'!$C$2</f>
        <v>62</v>
      </c>
      <c r="C85" s="17" t="str">
        <f>'Część nr 62'!$C$4</f>
        <v>Robotyczny pozycjoner optyki</v>
      </c>
      <c r="D85" s="20"/>
      <c r="E85" s="20"/>
      <c r="F85" s="13"/>
      <c r="G85" s="13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</row>
    <row r="86" spans="2:29" ht="24.75" customHeight="1" x14ac:dyDescent="0.2">
      <c r="B86" s="102">
        <f>'Część nr 63'!$C$2</f>
        <v>63</v>
      </c>
      <c r="C86" s="17" t="str">
        <f>'Część nr 63'!$C$4</f>
        <v>Kardiostymulator zewnętrzny</v>
      </c>
      <c r="D86" s="20"/>
      <c r="E86" s="20"/>
      <c r="F86" s="13"/>
      <c r="G86" s="13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</row>
    <row r="87" spans="2:29" ht="24.75" customHeight="1" x14ac:dyDescent="0.2">
      <c r="B87" s="102">
        <f>'Część nr 64'!$C$2</f>
        <v>64</v>
      </c>
      <c r="C87" s="17" t="str">
        <f>'Część nr 64'!$C$4</f>
        <v>Respiratory transportowe</v>
      </c>
      <c r="D87" s="20"/>
      <c r="E87" s="20"/>
      <c r="F87" s="13"/>
      <c r="G87" s="13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</row>
    <row r="88" spans="2:29" ht="24.75" customHeight="1" x14ac:dyDescent="0.2">
      <c r="B88" s="102">
        <f>'Część nr 65'!$C$2</f>
        <v>65</v>
      </c>
      <c r="C88" s="17" t="str">
        <f>'Część nr 65'!$C$4</f>
        <v>Stół operacyjny Saturn Select</v>
      </c>
      <c r="D88" s="20"/>
      <c r="E88" s="20"/>
      <c r="F88" s="13"/>
      <c r="G88" s="13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</row>
    <row r="89" spans="2:29" ht="24.75" customHeight="1" x14ac:dyDescent="0.2">
      <c r="B89" s="102">
        <f>'Część nr 66'!$C$2</f>
        <v>66</v>
      </c>
      <c r="C89" s="17" t="str">
        <f>'Część nr 66'!$C$4</f>
        <v>Lampy operacyjne</v>
      </c>
      <c r="D89" s="20"/>
      <c r="E89" s="20"/>
      <c r="F89" s="13"/>
      <c r="G89" s="13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</row>
    <row r="90" spans="2:29" ht="24.75" customHeight="1" x14ac:dyDescent="0.2">
      <c r="B90" s="102">
        <f>'Część nr 67'!$C$2</f>
        <v>67</v>
      </c>
      <c r="C90" s="17" t="str">
        <f>'Część nr 67'!$C$4</f>
        <v>Sekwenator Ion S5 z wyposażeniem</v>
      </c>
      <c r="D90" s="20"/>
      <c r="E90" s="20"/>
      <c r="F90" s="13"/>
      <c r="G90" s="13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</row>
    <row r="91" spans="2:29" ht="24.75" customHeight="1" x14ac:dyDescent="0.2">
      <c r="B91" s="102">
        <f>'Część nr 68'!$C$2</f>
        <v>68</v>
      </c>
      <c r="C91" s="17" t="str">
        <f>'Część nr 68'!$C$4</f>
        <v>Sekwenator kapilarny</v>
      </c>
      <c r="D91" s="20"/>
      <c r="E91" s="20"/>
      <c r="F91" s="95"/>
      <c r="G91" s="13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</row>
    <row r="92" spans="2:29" ht="24.75" customHeight="1" x14ac:dyDescent="0.2">
      <c r="B92" s="102">
        <f>'Część nr 69'!$C$2</f>
        <v>69</v>
      </c>
      <c r="C92" s="17" t="str">
        <f>'Część nr 69'!$C$4</f>
        <v>Zamrażarki niskotemperaturowe</v>
      </c>
      <c r="D92" s="20"/>
      <c r="E92" s="20"/>
      <c r="F92" s="95"/>
      <c r="G92" s="13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</row>
    <row r="93" spans="2:29" ht="24.75" customHeight="1" x14ac:dyDescent="0.2">
      <c r="B93" s="102">
        <f>'Część nr 70'!$C$2</f>
        <v>70</v>
      </c>
      <c r="C93" s="17" t="str">
        <f>'Część nr 70'!$C$4</f>
        <v>Wirówki laboratoryjne</v>
      </c>
      <c r="D93" s="20"/>
      <c r="E93" s="20"/>
      <c r="F93" s="95"/>
      <c r="G93" s="13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</row>
    <row r="94" spans="2:29" ht="24.75" customHeight="1" x14ac:dyDescent="0.2">
      <c r="B94" s="102">
        <f>'Część nr 71'!$C$2</f>
        <v>71</v>
      </c>
      <c r="C94" s="17" t="str">
        <f>'Część nr 71'!$C$4</f>
        <v>Aparat do izolacji kwasów nukleinowych</v>
      </c>
      <c r="D94" s="20"/>
      <c r="E94" s="20"/>
      <c r="F94" s="95"/>
      <c r="G94" s="13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</row>
    <row r="95" spans="2:29" ht="24.75" customHeight="1" x14ac:dyDescent="0.2">
      <c r="B95" s="102">
        <f>'Część nr 72'!$C$2</f>
        <v>72</v>
      </c>
      <c r="C95" s="17" t="str">
        <f>'Część nr 72'!$C$4</f>
        <v>Inkubator, wirówka Bio-Rad</v>
      </c>
      <c r="D95" s="20"/>
      <c r="E95" s="20"/>
      <c r="F95" s="13"/>
      <c r="G95" s="13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</row>
    <row r="96" spans="2:29" ht="24.75" customHeight="1" x14ac:dyDescent="0.2">
      <c r="B96" s="102">
        <f>'Część nr 73'!$C$2</f>
        <v>73</v>
      </c>
      <c r="C96" s="17" t="str">
        <f>'Część nr 73'!$C$4</f>
        <v>Termocyklery PCR firmy Termo Scientific</v>
      </c>
      <c r="D96" s="20"/>
      <c r="E96" s="20"/>
      <c r="F96" s="95"/>
      <c r="G96" s="13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</row>
    <row r="97" spans="1:29" ht="24.75" customHeight="1" x14ac:dyDescent="0.2">
      <c r="B97" s="102">
        <f>'Część nr 74'!$C$2</f>
        <v>74</v>
      </c>
      <c r="C97" s="17" t="str">
        <f>'Część nr 74'!$C$4</f>
        <v>Komory laminarne II</v>
      </c>
      <c r="D97" s="20"/>
      <c r="E97" s="20"/>
      <c r="F97" s="95"/>
      <c r="G97" s="13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</row>
    <row r="98" spans="1:29" ht="24.75" customHeight="1" x14ac:dyDescent="0.2">
      <c r="B98" s="102">
        <f>'Część nr 75'!$C$2</f>
        <v>75</v>
      </c>
      <c r="C98" s="17" t="str">
        <f>'Część nr 75'!$C$4</f>
        <v>Komory laminarne III</v>
      </c>
      <c r="D98" s="20"/>
      <c r="E98" s="20"/>
      <c r="F98" s="13"/>
      <c r="G98" s="13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</row>
    <row r="99" spans="1:29" ht="24.75" customHeight="1" x14ac:dyDescent="0.2">
      <c r="B99" s="102">
        <f>'Część nr 76'!$C$2</f>
        <v>76</v>
      </c>
      <c r="C99" s="17" t="str">
        <f>'Część nr 76'!$C$4</f>
        <v>Urządzenia laboratoryjne Becton Dickinson</v>
      </c>
      <c r="D99" s="20"/>
      <c r="E99" s="20"/>
      <c r="F99" s="13"/>
      <c r="G99" s="13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</row>
    <row r="100" spans="1:29" ht="24.75" customHeight="1" x14ac:dyDescent="0.2">
      <c r="B100" s="102">
        <f>'Część nr 77'!$C$2</f>
        <v>77</v>
      </c>
      <c r="C100" s="17" t="str">
        <f>'Część nr 77'!$C$4</f>
        <v>Komora laminarna IV</v>
      </c>
      <c r="D100" s="20"/>
      <c r="E100" s="20"/>
      <c r="F100" s="13"/>
      <c r="G100" s="13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</row>
    <row r="101" spans="1:29" ht="24.75" customHeight="1" x14ac:dyDescent="0.2">
      <c r="F101" s="13"/>
      <c r="G101" s="13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</row>
    <row r="102" spans="1:29" ht="45.6" customHeight="1" x14ac:dyDescent="0.2">
      <c r="B102" s="131" t="s">
        <v>673</v>
      </c>
      <c r="C102" s="131"/>
      <c r="D102" s="131"/>
      <c r="E102" s="131"/>
      <c r="F102" s="131"/>
      <c r="G102" s="131"/>
      <c r="H102" s="131"/>
      <c r="I102" s="131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</row>
    <row r="103" spans="1:29" ht="48.6" customHeight="1" x14ac:dyDescent="0.2">
      <c r="B103" s="130" t="s">
        <v>674</v>
      </c>
      <c r="C103" s="130"/>
      <c r="D103" s="130"/>
      <c r="E103" s="130"/>
      <c r="F103" s="130"/>
      <c r="G103" s="130"/>
      <c r="H103" s="130"/>
      <c r="I103" s="130"/>
    </row>
    <row r="104" spans="1:29" ht="13.15" customHeight="1" x14ac:dyDescent="0.2">
      <c r="A104" s="34"/>
      <c r="B104" s="130" t="s">
        <v>675</v>
      </c>
      <c r="C104" s="130"/>
      <c r="D104" s="130"/>
      <c r="E104" s="130"/>
      <c r="F104" s="130"/>
      <c r="G104" s="130"/>
      <c r="H104" s="130"/>
      <c r="I104" s="130"/>
    </row>
    <row r="105" spans="1:29" x14ac:dyDescent="0.2">
      <c r="B105" s="130"/>
      <c r="C105" s="130"/>
      <c r="D105" s="130"/>
      <c r="E105" s="130"/>
      <c r="F105" s="130"/>
      <c r="G105" s="130"/>
      <c r="H105" s="130"/>
      <c r="I105" s="130"/>
    </row>
    <row r="106" spans="1:29" x14ac:dyDescent="0.2">
      <c r="B106" s="130"/>
      <c r="C106" s="130"/>
      <c r="D106" s="130"/>
      <c r="E106" s="130"/>
      <c r="F106" s="130"/>
      <c r="G106" s="130"/>
      <c r="H106" s="130"/>
      <c r="I106" s="130"/>
    </row>
    <row r="107" spans="1:29" ht="13.15" customHeight="1" x14ac:dyDescent="0.2">
      <c r="B107" s="130"/>
      <c r="C107" s="130"/>
      <c r="D107" s="130"/>
      <c r="E107" s="130"/>
      <c r="F107" s="130"/>
      <c r="G107" s="130"/>
      <c r="H107" s="130"/>
      <c r="I107" s="130"/>
    </row>
    <row r="108" spans="1:29" ht="61.9" customHeight="1" x14ac:dyDescent="0.2">
      <c r="B108" s="130"/>
      <c r="C108" s="130"/>
      <c r="D108" s="130"/>
      <c r="E108" s="130"/>
      <c r="F108" s="130"/>
      <c r="G108" s="130"/>
      <c r="H108" s="130"/>
      <c r="I108" s="130"/>
    </row>
  </sheetData>
  <customSheetViews>
    <customSheetView guid="{D0B43696-C677-428B-89B5-FA762F48CCFE}" scale="85" showPageBreaks="1" printArea="1" view="pageBreakPreview" topLeftCell="A76">
      <selection activeCell="D92" sqref="D92"/>
      <pageMargins left="0.74803149606299213" right="0.74803149606299213" top="0.78740157480314965" bottom="0.78740157480314965" header="0.39370078740157483" footer="0.39370078740157483"/>
      <pageSetup paperSize="9" scale="67" orientation="portrait" r:id="rId1"/>
      <headerFooter alignWithMargins="0">
        <oddHeader>&amp;L&amp;"Arial CE,Pogrubiony"&amp;12FORMULARZ OFERTY&amp;RZałącznik nr 1 do specyfikacji</oddHeader>
        <oddFooter>&amp;C......................................................................................
podpis osoby uprawnionej do składania oświadczeń woli w imieniu wykonawcy&amp;RStrona &amp;P z &amp;N załącznika nr 1</oddFooter>
      </headerFooter>
    </customSheetView>
    <customSheetView guid="{1A0A59C7-6CA7-4317-90A9-40DF16B65ADD}" scale="85" showPageBreaks="1" printArea="1" view="pageBreakPreview" topLeftCell="A73">
      <selection activeCell="D92" sqref="D92"/>
      <pageMargins left="0.74803149606299213" right="0.74803149606299213" top="0.78740157480314965" bottom="0.78740157480314965" header="0.39370078740157483" footer="0.39370078740157483"/>
      <pageSetup paperSize="9" scale="67" orientation="portrait" r:id="rId2"/>
      <headerFooter alignWithMargins="0">
        <oddHeader>&amp;L&amp;"Arial CE,Pogrubiony"&amp;12FORMULARZ OFERTY&amp;RZałącznik nr 1 do specyfikacji</oddHeader>
        <oddFooter>&amp;C......................................................................................
podpis osoby uprawnionej do składania oświadczeń woli w imieniu wykonawcy&amp;RStrona &amp;P z &amp;N załącznika nr 1</oddFooter>
      </headerFooter>
    </customSheetView>
  </customSheetViews>
  <mergeCells count="9">
    <mergeCell ref="B104:I108"/>
    <mergeCell ref="B102:I102"/>
    <mergeCell ref="B3:G3"/>
    <mergeCell ref="C4:H4"/>
    <mergeCell ref="B21:G21"/>
    <mergeCell ref="B19:C19"/>
    <mergeCell ref="E17:H17"/>
    <mergeCell ref="B16:D16"/>
    <mergeCell ref="B103:I103"/>
  </mergeCells>
  <phoneticPr fontId="0" type="noConversion"/>
  <pageMargins left="0.74803149606299213" right="0.74803149606299213" top="0.78740157480314965" bottom="0.78740157480314965" header="0.39370078740157483" footer="0.39370078740157483"/>
  <pageSetup paperSize="9" scale="57" orientation="portrait" r:id="rId3"/>
  <headerFooter alignWithMargins="0">
    <oddHeader>&amp;RZałącznik nr 1 do SWZ</oddHeader>
    <oddFooter>&amp;L......................................................................................
podpis osoby uprawnionej do składania oświadczeń woli w imieniu wykonawcy</oddFooter>
  </headerFooter>
  <rowBreaks count="1" manualBreakCount="1">
    <brk id="56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2:P29"/>
  <sheetViews>
    <sheetView view="pageBreakPreview" topLeftCell="A7" zoomScaleNormal="100" zoomScaleSheetLayoutView="100" workbookViewId="0">
      <selection activeCell="B20" sqref="B20:F20"/>
    </sheetView>
  </sheetViews>
  <sheetFormatPr defaultRowHeight="12.75" x14ac:dyDescent="0.2"/>
  <cols>
    <col min="1" max="1" width="4" customWidth="1"/>
    <col min="2" max="2" width="19.42578125" customWidth="1"/>
    <col min="3" max="3" width="11.5703125" customWidth="1"/>
    <col min="4" max="4" width="9.5703125" customWidth="1"/>
    <col min="5" max="5" width="11" customWidth="1"/>
    <col min="6" max="6" width="15.7109375" customWidth="1"/>
    <col min="7" max="7" width="15" customWidth="1"/>
    <col min="8" max="8" width="15.1406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</v>
      </c>
      <c r="C2" s="21">
        <v>1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43" t="s">
        <v>176</v>
      </c>
      <c r="B4" s="144"/>
      <c r="C4" s="147" t="s">
        <v>491</v>
      </c>
      <c r="D4" s="148"/>
      <c r="E4" s="148"/>
      <c r="F4" s="148"/>
      <c r="G4" s="148"/>
      <c r="H4" s="148"/>
      <c r="I4" s="148"/>
      <c r="J4" s="148"/>
      <c r="K4" s="149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45" t="s">
        <v>676</v>
      </c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25.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24">
        <v>1</v>
      </c>
      <c r="B9" s="24" t="s">
        <v>187</v>
      </c>
      <c r="C9" s="32" t="s">
        <v>188</v>
      </c>
      <c r="D9" s="25">
        <v>2007</v>
      </c>
      <c r="E9" s="41">
        <v>44805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">
      <c r="A10" s="24">
        <v>2</v>
      </c>
      <c r="B10" s="24" t="s">
        <v>187</v>
      </c>
      <c r="C10" s="32" t="s">
        <v>525</v>
      </c>
      <c r="D10" s="25">
        <v>2006</v>
      </c>
      <c r="E10" s="41">
        <v>44805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x14ac:dyDescent="0.2">
      <c r="A11" s="24">
        <v>3</v>
      </c>
      <c r="B11" s="24" t="s">
        <v>187</v>
      </c>
      <c r="C11" s="32" t="s">
        <v>189</v>
      </c>
      <c r="D11" s="25">
        <v>2008</v>
      </c>
      <c r="E11" s="41">
        <v>44805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x14ac:dyDescent="0.2">
      <c r="A12" s="24">
        <v>4</v>
      </c>
      <c r="B12" s="24" t="s">
        <v>187</v>
      </c>
      <c r="C12" s="32" t="s">
        <v>190</v>
      </c>
      <c r="D12" s="25">
        <v>2007</v>
      </c>
      <c r="E12" s="41">
        <v>44805</v>
      </c>
      <c r="F12" s="25"/>
      <c r="G12" s="25"/>
      <c r="H12" s="25"/>
      <c r="I12" s="5"/>
      <c r="J12" s="5"/>
      <c r="K12" s="5"/>
      <c r="L12" s="5"/>
      <c r="M12" s="5"/>
      <c r="N12" s="5"/>
      <c r="O12" s="5"/>
      <c r="P12" s="5"/>
    </row>
    <row r="13" spans="1:16" x14ac:dyDescent="0.2">
      <c r="A13" s="24">
        <v>5</v>
      </c>
      <c r="B13" s="24" t="s">
        <v>191</v>
      </c>
      <c r="C13" s="32" t="s">
        <v>522</v>
      </c>
      <c r="D13" s="25">
        <v>2010</v>
      </c>
      <c r="E13" s="41">
        <v>44805</v>
      </c>
      <c r="F13" s="25"/>
      <c r="G13" s="25"/>
      <c r="H13" s="25"/>
      <c r="I13" s="5"/>
      <c r="J13" s="5"/>
      <c r="K13" s="5"/>
      <c r="L13" s="5"/>
      <c r="M13" s="5"/>
      <c r="N13" s="5"/>
      <c r="O13" s="5"/>
      <c r="P13" s="5"/>
    </row>
    <row r="14" spans="1:16" x14ac:dyDescent="0.2">
      <c r="A14" s="24">
        <v>6</v>
      </c>
      <c r="B14" s="24" t="s">
        <v>191</v>
      </c>
      <c r="C14" s="32" t="s">
        <v>523</v>
      </c>
      <c r="D14" s="25">
        <v>2010</v>
      </c>
      <c r="E14" s="41">
        <v>44805</v>
      </c>
      <c r="F14" s="25"/>
      <c r="G14" s="25"/>
      <c r="H14" s="25"/>
      <c r="I14" s="5"/>
      <c r="J14" s="5"/>
      <c r="K14" s="5"/>
      <c r="L14" s="5"/>
      <c r="M14" s="5"/>
      <c r="N14" s="5"/>
      <c r="O14" s="5"/>
      <c r="P14" s="5"/>
    </row>
    <row r="15" spans="1:16" x14ac:dyDescent="0.2">
      <c r="A15" s="24">
        <v>7</v>
      </c>
      <c r="B15" s="24" t="s">
        <v>191</v>
      </c>
      <c r="C15" s="32" t="s">
        <v>524</v>
      </c>
      <c r="D15" s="25">
        <v>2009</v>
      </c>
      <c r="E15" s="41">
        <v>44805</v>
      </c>
      <c r="F15" s="25"/>
      <c r="G15" s="25"/>
      <c r="H15" s="25"/>
      <c r="I15" s="5"/>
      <c r="J15" s="5"/>
      <c r="K15" s="5"/>
      <c r="L15" s="5"/>
      <c r="M15" s="5"/>
      <c r="N15" s="5"/>
      <c r="O15" s="5"/>
      <c r="P15" s="5"/>
    </row>
    <row r="16" spans="1:16" x14ac:dyDescent="0.2">
      <c r="A16" s="24">
        <v>8</v>
      </c>
      <c r="B16" s="24" t="s">
        <v>191</v>
      </c>
      <c r="C16" s="32" t="s">
        <v>570</v>
      </c>
      <c r="D16" s="25">
        <v>2018</v>
      </c>
      <c r="E16" s="41">
        <v>44805</v>
      </c>
      <c r="F16" s="25"/>
      <c r="G16" s="25"/>
      <c r="H16" s="25"/>
      <c r="I16" s="5"/>
      <c r="J16" s="5"/>
      <c r="K16" s="5"/>
      <c r="L16" s="5"/>
      <c r="M16" s="5"/>
      <c r="N16" s="5"/>
      <c r="O16" s="5"/>
      <c r="P16" s="5"/>
    </row>
    <row r="17" spans="1:16" x14ac:dyDescent="0.2">
      <c r="A17" s="24">
        <v>9</v>
      </c>
      <c r="B17" s="24" t="s">
        <v>191</v>
      </c>
      <c r="C17" s="32" t="s">
        <v>571</v>
      </c>
      <c r="D17" s="25">
        <v>2018</v>
      </c>
      <c r="E17" s="41">
        <v>44805</v>
      </c>
      <c r="F17" s="25"/>
      <c r="G17" s="25"/>
      <c r="H17" s="25"/>
      <c r="I17" s="5"/>
      <c r="J17" s="5"/>
      <c r="K17" s="5"/>
      <c r="L17" s="5"/>
      <c r="M17" s="5"/>
      <c r="N17" s="5"/>
      <c r="O17" s="5"/>
      <c r="P17" s="5"/>
    </row>
    <row r="18" spans="1:16" x14ac:dyDescent="0.2">
      <c r="A18" s="24">
        <v>10</v>
      </c>
      <c r="B18" s="24" t="s">
        <v>191</v>
      </c>
      <c r="C18" s="32">
        <v>1386</v>
      </c>
      <c r="D18" s="25">
        <v>2012</v>
      </c>
      <c r="E18" s="41">
        <v>44805</v>
      </c>
      <c r="F18" s="25"/>
      <c r="G18" s="25"/>
      <c r="H18" s="25"/>
      <c r="I18" s="5"/>
      <c r="J18" s="5"/>
      <c r="K18" s="5"/>
      <c r="L18" s="5"/>
      <c r="M18" s="5"/>
      <c r="N18" s="5"/>
      <c r="O18" s="5"/>
      <c r="P18" s="5"/>
    </row>
    <row r="19" spans="1:16" ht="88.15" customHeight="1" x14ac:dyDescent="0.2">
      <c r="A19" s="27"/>
      <c r="B19" s="159" t="s">
        <v>337</v>
      </c>
      <c r="C19" s="159"/>
      <c r="D19" s="159"/>
      <c r="E19" s="159"/>
      <c r="F19" s="159"/>
      <c r="G19" s="25" t="s">
        <v>338</v>
      </c>
      <c r="H19" s="28"/>
      <c r="I19" s="5"/>
      <c r="J19" s="5"/>
      <c r="K19" s="5"/>
      <c r="L19" s="5"/>
      <c r="M19" s="5"/>
      <c r="N19" s="5"/>
      <c r="O19" s="5"/>
      <c r="P19" s="5"/>
    </row>
    <row r="20" spans="1:16" ht="60" customHeight="1" x14ac:dyDescent="0.2">
      <c r="B20" s="160" t="s">
        <v>402</v>
      </c>
      <c r="C20" s="160"/>
      <c r="D20" s="160"/>
      <c r="E20" s="160"/>
      <c r="F20" s="160"/>
      <c r="G20" s="25" t="s">
        <v>338</v>
      </c>
      <c r="H20" s="5"/>
      <c r="I20" s="5"/>
      <c r="J20" s="5"/>
      <c r="K20" s="5"/>
      <c r="L20" s="5"/>
      <c r="M20" s="5"/>
      <c r="N20" s="5"/>
      <c r="O20" s="5"/>
      <c r="P20" s="5"/>
    </row>
    <row r="21" spans="1:16" x14ac:dyDescent="0.2">
      <c r="B21" s="29"/>
      <c r="C21" s="29"/>
      <c r="D21" s="29"/>
      <c r="E21" s="29"/>
      <c r="F21" s="29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6" x14ac:dyDescent="0.2">
      <c r="A22" s="150" t="s">
        <v>192</v>
      </c>
      <c r="B22" s="151"/>
      <c r="C22" s="152"/>
      <c r="D22" s="153"/>
      <c r="E22" s="154"/>
      <c r="F22" s="155" t="s">
        <v>178</v>
      </c>
      <c r="G22" s="156"/>
      <c r="H22" s="157"/>
      <c r="I22" s="152"/>
      <c r="J22" s="153"/>
      <c r="K22" s="158"/>
    </row>
    <row r="23" spans="1:16" x14ac:dyDescent="0.2">
      <c r="A23" s="7"/>
      <c r="B23" s="10"/>
    </row>
    <row r="24" spans="1:16" x14ac:dyDescent="0.2">
      <c r="A24" s="6"/>
      <c r="B24" s="10"/>
      <c r="C24" s="15"/>
      <c r="D24" s="10"/>
      <c r="E24" s="10"/>
      <c r="F24" s="10"/>
      <c r="G24" s="10"/>
      <c r="H24" s="10"/>
      <c r="I24" s="10"/>
      <c r="J24" s="10"/>
      <c r="K24" s="10"/>
    </row>
    <row r="25" spans="1:16" x14ac:dyDescent="0.2">
      <c r="A25" s="7"/>
      <c r="B25" s="7"/>
      <c r="C25" s="16"/>
    </row>
    <row r="26" spans="1:16" x14ac:dyDescent="0.2">
      <c r="K26" s="4"/>
      <c r="L26" s="4"/>
    </row>
    <row r="27" spans="1:16" x14ac:dyDescent="0.2">
      <c r="K27" s="4"/>
      <c r="L27" s="4"/>
    </row>
    <row r="28" spans="1:16" x14ac:dyDescent="0.2">
      <c r="I28" s="10"/>
      <c r="J28" s="10"/>
      <c r="K28" s="23"/>
      <c r="L28" s="14"/>
    </row>
    <row r="29" spans="1:16" x14ac:dyDescent="0.2">
      <c r="I29" s="14"/>
      <c r="J29" s="14"/>
      <c r="K29" s="14"/>
    </row>
  </sheetData>
  <customSheetViews>
    <customSheetView guid="{D0B43696-C677-428B-89B5-FA762F48CCFE}" showPageBreaks="1" printArea="1" view="pageBreakPreview">
      <selection activeCell="E9" sqref="E9:E18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9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E9" sqref="E9:E18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9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B6:L6"/>
    <mergeCell ref="C4:K4"/>
    <mergeCell ref="A22:B22"/>
    <mergeCell ref="C22:E22"/>
    <mergeCell ref="F22:H22"/>
    <mergeCell ref="I22:K22"/>
    <mergeCell ref="B19:F19"/>
    <mergeCell ref="B20:F20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2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3"/>
  <dimension ref="A2:P23"/>
  <sheetViews>
    <sheetView view="pageBreakPreview" zoomScaleNormal="100" zoomScaleSheetLayoutView="100" workbookViewId="0">
      <selection activeCell="C16" sqref="C16:E16"/>
    </sheetView>
  </sheetViews>
  <sheetFormatPr defaultRowHeight="12.75" x14ac:dyDescent="0.2"/>
  <cols>
    <col min="1" max="1" width="3.5703125" customWidth="1"/>
    <col min="2" max="2" width="36" customWidth="1"/>
    <col min="3" max="3" width="10.5703125" customWidth="1"/>
    <col min="4" max="4" width="10.85546875" customWidth="1"/>
    <col min="5" max="5" width="11.85546875" customWidth="1"/>
    <col min="6" max="6" width="10.5703125" customWidth="1"/>
    <col min="7" max="7" width="13.42578125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</v>
      </c>
      <c r="C2" s="21">
        <v>2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43" t="s">
        <v>176</v>
      </c>
      <c r="B4" s="144"/>
      <c r="C4" s="147" t="s">
        <v>450</v>
      </c>
      <c r="D4" s="148"/>
      <c r="E4" s="148"/>
      <c r="F4" s="148"/>
      <c r="G4" s="148"/>
      <c r="H4" s="148"/>
      <c r="I4" s="148"/>
      <c r="J4" s="148"/>
      <c r="K4" s="149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25.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24">
        <v>1</v>
      </c>
      <c r="B9" s="24" t="s">
        <v>339</v>
      </c>
      <c r="C9" s="25">
        <v>1398</v>
      </c>
      <c r="D9" s="25">
        <v>2000</v>
      </c>
      <c r="E9" s="41">
        <v>44783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">
      <c r="A10" s="24">
        <v>2</v>
      </c>
      <c r="B10" s="24" t="s">
        <v>340</v>
      </c>
      <c r="C10" s="25">
        <v>775</v>
      </c>
      <c r="D10" s="25">
        <v>1997</v>
      </c>
      <c r="E10" s="41">
        <v>44783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x14ac:dyDescent="0.2">
      <c r="A11" s="24">
        <v>3</v>
      </c>
      <c r="B11" s="24" t="s">
        <v>341</v>
      </c>
      <c r="C11" s="25">
        <v>1291</v>
      </c>
      <c r="D11" s="25">
        <v>1998</v>
      </c>
      <c r="E11" s="41">
        <v>44783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ht="99.6" customHeight="1" x14ac:dyDescent="0.2">
      <c r="A12" s="27"/>
      <c r="B12" s="162" t="s">
        <v>445</v>
      </c>
      <c r="C12" s="162"/>
      <c r="D12" s="162"/>
      <c r="E12" s="162"/>
      <c r="F12" s="162"/>
      <c r="G12" s="25" t="s">
        <v>338</v>
      </c>
      <c r="H12" s="28"/>
      <c r="I12" s="5"/>
      <c r="J12" s="5"/>
      <c r="K12" s="5"/>
      <c r="L12" s="5"/>
      <c r="M12" s="5"/>
      <c r="N12" s="5"/>
      <c r="O12" s="5"/>
      <c r="P12" s="5"/>
    </row>
    <row r="13" spans="1:16" ht="54" customHeight="1" x14ac:dyDescent="0.2">
      <c r="A13" s="27"/>
      <c r="B13" s="162" t="s">
        <v>402</v>
      </c>
      <c r="C13" s="162"/>
      <c r="D13" s="162"/>
      <c r="E13" s="162"/>
      <c r="F13" s="162"/>
      <c r="G13" s="25" t="s">
        <v>338</v>
      </c>
      <c r="H13" s="28"/>
      <c r="I13" s="5"/>
      <c r="J13" s="5"/>
      <c r="K13" s="5"/>
      <c r="L13" s="5"/>
      <c r="M13" s="5"/>
      <c r="N13" s="5"/>
      <c r="O13" s="5"/>
      <c r="P13" s="5"/>
    </row>
    <row r="14" spans="1:16" x14ac:dyDescent="0.2">
      <c r="A14" s="27"/>
      <c r="B14" s="27"/>
      <c r="C14" s="28"/>
      <c r="D14" s="28"/>
      <c r="E14" s="28"/>
      <c r="F14" s="28"/>
      <c r="G14" s="28"/>
      <c r="H14" s="28"/>
      <c r="I14" s="5"/>
      <c r="J14" s="5"/>
      <c r="K14" s="5"/>
      <c r="L14" s="5"/>
      <c r="M14" s="5"/>
      <c r="N14" s="5"/>
      <c r="O14" s="5"/>
      <c r="P14" s="5"/>
    </row>
    <row r="15" spans="1:16" x14ac:dyDescent="0.2">
      <c r="B15" s="3"/>
      <c r="C15" s="26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 x14ac:dyDescent="0.2">
      <c r="A16" s="150" t="s">
        <v>192</v>
      </c>
      <c r="B16" s="151"/>
      <c r="C16" s="152"/>
      <c r="D16" s="153"/>
      <c r="E16" s="154"/>
      <c r="F16" s="155" t="s">
        <v>178</v>
      </c>
      <c r="G16" s="156"/>
      <c r="H16" s="157"/>
      <c r="I16" s="152"/>
      <c r="J16" s="153"/>
      <c r="K16" s="158"/>
    </row>
    <row r="17" spans="1:12" x14ac:dyDescent="0.2">
      <c r="A17" s="7"/>
      <c r="B17" s="10"/>
    </row>
    <row r="18" spans="1:12" x14ac:dyDescent="0.2">
      <c r="A18" s="6"/>
      <c r="B18" s="10"/>
      <c r="C18" s="15"/>
      <c r="D18" s="10"/>
      <c r="E18" s="10"/>
      <c r="F18" s="10"/>
      <c r="G18" s="10"/>
      <c r="H18" s="10"/>
      <c r="I18" s="10"/>
      <c r="J18" s="10"/>
      <c r="K18" s="10"/>
    </row>
    <row r="19" spans="1:12" x14ac:dyDescent="0.2">
      <c r="A19" s="7"/>
      <c r="B19" s="7"/>
      <c r="C19" s="16"/>
    </row>
    <row r="20" spans="1:12" x14ac:dyDescent="0.2">
      <c r="K20" s="4"/>
      <c r="L20" s="4"/>
    </row>
    <row r="21" spans="1:12" x14ac:dyDescent="0.2">
      <c r="K21" s="4"/>
      <c r="L21" s="4"/>
    </row>
    <row r="22" spans="1:12" x14ac:dyDescent="0.2">
      <c r="I22" s="10"/>
      <c r="J22" s="10"/>
      <c r="K22" s="23"/>
      <c r="L22" s="14"/>
    </row>
    <row r="23" spans="1:12" x14ac:dyDescent="0.2">
      <c r="I23" s="14"/>
      <c r="J23" s="14"/>
      <c r="K23" s="14"/>
    </row>
  </sheetData>
  <customSheetViews>
    <customSheetView guid="{D0B43696-C677-428B-89B5-FA762F48CCFE}" showPageBreaks="1" printArea="1" view="pageBreakPreview">
      <selection activeCell="C16" sqref="C16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C16" sqref="C16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16:B16"/>
    <mergeCell ref="C16:E16"/>
    <mergeCell ref="F16:H16"/>
    <mergeCell ref="I16:K16"/>
    <mergeCell ref="B12:F12"/>
    <mergeCell ref="B13:F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77" orientation="landscape" horizontalDpi="300" verticalDpi="300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4"/>
  <dimension ref="A2:P24"/>
  <sheetViews>
    <sheetView view="pageBreakPreview" topLeftCell="A7" zoomScaleNormal="100" zoomScaleSheetLayoutView="100" workbookViewId="0">
      <selection activeCell="C17" sqref="C17:E17"/>
    </sheetView>
  </sheetViews>
  <sheetFormatPr defaultRowHeight="12.75" x14ac:dyDescent="0.2"/>
  <cols>
    <col min="1" max="1" width="4.28515625" customWidth="1"/>
    <col min="2" max="2" width="27.5703125" bestFit="1" customWidth="1"/>
    <col min="3" max="3" width="13.140625" customWidth="1"/>
    <col min="4" max="6" width="12.140625" customWidth="1"/>
    <col min="7" max="7" width="12.85546875" customWidth="1"/>
    <col min="8" max="8" width="14.1406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</v>
      </c>
      <c r="C2" s="21">
        <v>3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43" t="s">
        <v>176</v>
      </c>
      <c r="B4" s="144"/>
      <c r="C4" s="147" t="s">
        <v>492</v>
      </c>
      <c r="D4" s="148"/>
      <c r="E4" s="148"/>
      <c r="F4" s="148"/>
      <c r="G4" s="148"/>
      <c r="H4" s="148"/>
      <c r="I4" s="148"/>
      <c r="J4" s="148"/>
      <c r="K4" s="149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25.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24">
        <v>1</v>
      </c>
      <c r="B9" s="24" t="s">
        <v>344</v>
      </c>
      <c r="C9" s="25" t="s">
        <v>345</v>
      </c>
      <c r="D9" s="25">
        <v>2007</v>
      </c>
      <c r="E9" s="41">
        <v>44806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">
      <c r="A10" s="24">
        <v>2</v>
      </c>
      <c r="B10" s="24" t="s">
        <v>346</v>
      </c>
      <c r="C10" s="25" t="s">
        <v>347</v>
      </c>
      <c r="D10" s="25">
        <v>2007</v>
      </c>
      <c r="E10" s="41">
        <v>44806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x14ac:dyDescent="0.2">
      <c r="A11" s="24">
        <v>3</v>
      </c>
      <c r="B11" s="24" t="s">
        <v>348</v>
      </c>
      <c r="C11" s="25">
        <v>2023132</v>
      </c>
      <c r="D11" s="25">
        <v>2007</v>
      </c>
      <c r="E11" s="41">
        <v>44806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ht="25.5" x14ac:dyDescent="0.2">
      <c r="A12" s="24">
        <v>4</v>
      </c>
      <c r="B12" s="30" t="s">
        <v>418</v>
      </c>
      <c r="C12" s="24" t="s">
        <v>419</v>
      </c>
      <c r="D12" s="35">
        <v>2015</v>
      </c>
      <c r="E12" s="41">
        <v>44806</v>
      </c>
      <c r="F12" s="25"/>
      <c r="G12" s="25"/>
      <c r="H12" s="25"/>
      <c r="I12" s="5"/>
      <c r="J12" s="5"/>
      <c r="K12" s="5"/>
      <c r="L12" s="5"/>
      <c r="M12" s="5"/>
      <c r="N12" s="5"/>
      <c r="O12" s="5"/>
      <c r="P12" s="5"/>
    </row>
    <row r="13" spans="1:16" ht="136.15" customHeight="1" x14ac:dyDescent="0.2">
      <c r="A13" s="27"/>
      <c r="B13" s="159" t="s">
        <v>355</v>
      </c>
      <c r="C13" s="159"/>
      <c r="D13" s="159"/>
      <c r="E13" s="159"/>
      <c r="F13" s="159"/>
      <c r="G13" s="25" t="s">
        <v>338</v>
      </c>
      <c r="H13" s="28"/>
      <c r="I13" s="5"/>
      <c r="J13" s="5"/>
      <c r="K13" s="5"/>
      <c r="L13" s="5"/>
      <c r="M13" s="5"/>
      <c r="N13" s="5"/>
      <c r="O13" s="5"/>
      <c r="P13" s="5"/>
    </row>
    <row r="14" spans="1:16" ht="61.5" customHeight="1" x14ac:dyDescent="0.2">
      <c r="A14" s="27"/>
      <c r="B14" s="159" t="s">
        <v>402</v>
      </c>
      <c r="C14" s="159"/>
      <c r="D14" s="159"/>
      <c r="E14" s="159"/>
      <c r="F14" s="159"/>
      <c r="G14" s="25" t="s">
        <v>338</v>
      </c>
      <c r="H14" s="28"/>
      <c r="I14" s="5"/>
      <c r="J14" s="5"/>
      <c r="K14" s="5"/>
      <c r="L14" s="5"/>
      <c r="M14" s="5"/>
      <c r="N14" s="5"/>
      <c r="O14" s="5"/>
      <c r="P14" s="5"/>
    </row>
    <row r="15" spans="1:16" x14ac:dyDescent="0.2">
      <c r="B15" s="3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 x14ac:dyDescent="0.2">
      <c r="B16" s="3"/>
      <c r="C16" s="26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2" x14ac:dyDescent="0.2">
      <c r="A17" s="150" t="s">
        <v>192</v>
      </c>
      <c r="B17" s="151"/>
      <c r="C17" s="152"/>
      <c r="D17" s="153"/>
      <c r="E17" s="154"/>
      <c r="F17" s="155" t="s">
        <v>178</v>
      </c>
      <c r="G17" s="156"/>
      <c r="H17" s="157"/>
      <c r="I17" s="152"/>
      <c r="J17" s="153"/>
      <c r="K17" s="158"/>
    </row>
    <row r="18" spans="1:12" x14ac:dyDescent="0.2">
      <c r="A18" s="7"/>
      <c r="B18" s="10"/>
    </row>
    <row r="19" spans="1:12" x14ac:dyDescent="0.2">
      <c r="A19" s="6"/>
      <c r="B19" s="10"/>
      <c r="C19" s="15"/>
      <c r="D19" s="10"/>
      <c r="E19" s="10"/>
      <c r="F19" s="10"/>
      <c r="G19" s="10"/>
      <c r="H19" s="10"/>
      <c r="I19" s="10"/>
      <c r="J19" s="10"/>
      <c r="K19" s="10"/>
    </row>
    <row r="20" spans="1:12" x14ac:dyDescent="0.2">
      <c r="A20" s="7"/>
      <c r="B20" s="7"/>
      <c r="C20" s="16"/>
    </row>
    <row r="21" spans="1:12" x14ac:dyDescent="0.2">
      <c r="K21" s="4"/>
      <c r="L21" s="4"/>
    </row>
    <row r="22" spans="1:12" x14ac:dyDescent="0.2">
      <c r="K22" s="4"/>
      <c r="L22" s="4"/>
    </row>
    <row r="23" spans="1:12" x14ac:dyDescent="0.2">
      <c r="I23" s="10"/>
      <c r="J23" s="10"/>
      <c r="K23" s="23"/>
      <c r="L23" s="14"/>
    </row>
    <row r="24" spans="1:12" x14ac:dyDescent="0.2">
      <c r="I24" s="14"/>
      <c r="J24" s="14"/>
      <c r="K24" s="14"/>
    </row>
  </sheetData>
  <customSheetViews>
    <customSheetView guid="{D0B43696-C677-428B-89B5-FA762F48CCFE}" showPageBreaks="1" printArea="1" view="pageBreakPreview">
      <selection activeCell="D24" sqref="D2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6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D24" sqref="D2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6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17:B17"/>
    <mergeCell ref="C17:E17"/>
    <mergeCell ref="F17:H17"/>
    <mergeCell ref="I17:K17"/>
    <mergeCell ref="B13:F13"/>
    <mergeCell ref="B14:F1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79" orientation="landscape" horizontalDpi="300" verticalDpi="300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5"/>
  <dimension ref="A2:P29"/>
  <sheetViews>
    <sheetView view="pageBreakPreview" topLeftCell="A10" zoomScaleNormal="100" zoomScaleSheetLayoutView="100" workbookViewId="0">
      <selection activeCell="C22" sqref="C22:E22"/>
    </sheetView>
  </sheetViews>
  <sheetFormatPr defaultRowHeight="12.75" x14ac:dyDescent="0.2"/>
  <cols>
    <col min="1" max="1" width="5.42578125" customWidth="1"/>
    <col min="2" max="2" width="19.42578125" customWidth="1"/>
    <col min="3" max="3" width="12.140625" customWidth="1"/>
    <col min="4" max="4" width="11.140625" customWidth="1"/>
    <col min="5" max="5" width="16.5703125" customWidth="1"/>
    <col min="6" max="6" width="14.42578125" customWidth="1"/>
    <col min="7" max="7" width="11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</v>
      </c>
      <c r="C2" s="21">
        <v>4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43" t="s">
        <v>176</v>
      </c>
      <c r="B4" s="144"/>
      <c r="C4" s="147" t="s">
        <v>493</v>
      </c>
      <c r="D4" s="148"/>
      <c r="E4" s="148"/>
      <c r="F4" s="148"/>
      <c r="G4" s="148"/>
      <c r="H4" s="148"/>
      <c r="I4" s="148"/>
      <c r="J4" s="148"/>
      <c r="K4" s="149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55">
        <v>1</v>
      </c>
      <c r="B9" s="55" t="s">
        <v>557</v>
      </c>
      <c r="C9" s="32" t="s">
        <v>558</v>
      </c>
      <c r="D9" s="25">
        <v>2014</v>
      </c>
      <c r="E9" s="41">
        <v>44924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">
      <c r="A10" s="55">
        <v>2</v>
      </c>
      <c r="B10" s="55" t="s">
        <v>557</v>
      </c>
      <c r="C10" s="32" t="s">
        <v>559</v>
      </c>
      <c r="D10" s="25">
        <v>2014</v>
      </c>
      <c r="E10" s="41">
        <v>44924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x14ac:dyDescent="0.2">
      <c r="A11" s="55">
        <v>3</v>
      </c>
      <c r="B11" s="55" t="s">
        <v>557</v>
      </c>
      <c r="C11" s="32" t="s">
        <v>560</v>
      </c>
      <c r="D11" s="25">
        <v>2014</v>
      </c>
      <c r="E11" s="41">
        <v>44924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x14ac:dyDescent="0.2">
      <c r="A12" s="55">
        <v>4</v>
      </c>
      <c r="B12" s="55" t="s">
        <v>53</v>
      </c>
      <c r="C12" s="32" t="s">
        <v>54</v>
      </c>
      <c r="D12" s="25">
        <v>2013</v>
      </c>
      <c r="E12" s="41">
        <v>44924</v>
      </c>
      <c r="F12" s="25"/>
      <c r="G12" s="25"/>
      <c r="H12" s="25"/>
      <c r="I12" s="5"/>
      <c r="J12" s="5"/>
      <c r="K12" s="5"/>
      <c r="L12" s="5"/>
      <c r="M12" s="5"/>
      <c r="N12" s="5"/>
      <c r="O12" s="5"/>
      <c r="P12" s="5"/>
    </row>
    <row r="13" spans="1:16" ht="25.5" x14ac:dyDescent="0.2">
      <c r="A13" s="55">
        <v>5</v>
      </c>
      <c r="B13" s="55" t="s">
        <v>561</v>
      </c>
      <c r="C13" s="32" t="s">
        <v>562</v>
      </c>
      <c r="D13" s="25">
        <v>2014</v>
      </c>
      <c r="E13" s="41">
        <v>44924</v>
      </c>
      <c r="F13" s="25"/>
      <c r="G13" s="25"/>
      <c r="H13" s="25"/>
      <c r="I13" s="5"/>
      <c r="J13" s="5"/>
      <c r="K13" s="5"/>
      <c r="L13" s="5"/>
      <c r="M13" s="5"/>
      <c r="N13" s="5"/>
      <c r="O13" s="5"/>
      <c r="P13" s="5"/>
    </row>
    <row r="14" spans="1:16" ht="25.5" x14ac:dyDescent="0.2">
      <c r="A14" s="55">
        <v>6</v>
      </c>
      <c r="B14" s="55" t="s">
        <v>561</v>
      </c>
      <c r="C14" s="32" t="s">
        <v>563</v>
      </c>
      <c r="D14" s="25">
        <v>2014</v>
      </c>
      <c r="E14" s="41">
        <v>44924</v>
      </c>
      <c r="F14" s="25"/>
      <c r="G14" s="25"/>
      <c r="H14" s="25"/>
      <c r="I14" s="5"/>
      <c r="J14" s="5"/>
      <c r="K14" s="5"/>
      <c r="L14" s="5"/>
      <c r="M14" s="5"/>
      <c r="N14" s="5"/>
      <c r="O14" s="5"/>
      <c r="P14" s="5"/>
    </row>
    <row r="15" spans="1:16" x14ac:dyDescent="0.2">
      <c r="A15" s="55">
        <v>7</v>
      </c>
      <c r="B15" s="55" t="s">
        <v>564</v>
      </c>
      <c r="C15" s="32" t="s">
        <v>566</v>
      </c>
      <c r="D15" s="25">
        <v>2014</v>
      </c>
      <c r="E15" s="41">
        <v>44924</v>
      </c>
      <c r="F15" s="25"/>
      <c r="G15" s="25"/>
      <c r="H15" s="25"/>
      <c r="I15" s="5"/>
      <c r="J15" s="5"/>
      <c r="K15" s="5"/>
      <c r="L15" s="5"/>
      <c r="M15" s="5"/>
      <c r="N15" s="5"/>
      <c r="O15" s="5"/>
      <c r="P15" s="5"/>
    </row>
    <row r="16" spans="1:16" x14ac:dyDescent="0.2">
      <c r="A16" s="55">
        <v>8</v>
      </c>
      <c r="B16" s="55" t="s">
        <v>564</v>
      </c>
      <c r="C16" s="32" t="s">
        <v>567</v>
      </c>
      <c r="D16" s="25">
        <v>2014</v>
      </c>
      <c r="E16" s="41">
        <v>44924</v>
      </c>
      <c r="F16" s="25"/>
      <c r="G16" s="25"/>
      <c r="H16" s="25"/>
      <c r="I16" s="5"/>
      <c r="J16" s="5"/>
      <c r="K16" s="5"/>
      <c r="L16" s="5"/>
      <c r="M16" s="5"/>
      <c r="N16" s="5"/>
      <c r="O16" s="5"/>
      <c r="P16" s="5"/>
    </row>
    <row r="17" spans="1:16" x14ac:dyDescent="0.2">
      <c r="A17" s="55">
        <v>9</v>
      </c>
      <c r="B17" s="55" t="s">
        <v>565</v>
      </c>
      <c r="C17" s="32" t="s">
        <v>568</v>
      </c>
      <c r="D17" s="25">
        <v>2014</v>
      </c>
      <c r="E17" s="41">
        <v>44924</v>
      </c>
      <c r="F17" s="25"/>
      <c r="G17" s="25"/>
      <c r="H17" s="25"/>
      <c r="I17" s="5"/>
      <c r="J17" s="5"/>
      <c r="K17" s="5"/>
      <c r="L17" s="5"/>
      <c r="M17" s="5"/>
      <c r="N17" s="5"/>
      <c r="O17" s="5"/>
      <c r="P17" s="5"/>
    </row>
    <row r="18" spans="1:16" x14ac:dyDescent="0.2">
      <c r="A18" s="55">
        <v>10</v>
      </c>
      <c r="B18" s="55" t="s">
        <v>565</v>
      </c>
      <c r="C18" s="56" t="s">
        <v>569</v>
      </c>
      <c r="D18" s="25">
        <v>2014</v>
      </c>
      <c r="E18" s="41">
        <v>44924</v>
      </c>
      <c r="F18" s="25"/>
      <c r="G18" s="25"/>
      <c r="H18" s="25"/>
      <c r="I18" s="5"/>
      <c r="J18" s="5"/>
      <c r="K18" s="5"/>
      <c r="L18" s="5"/>
      <c r="M18" s="5"/>
      <c r="N18" s="5"/>
      <c r="O18" s="5"/>
      <c r="P18" s="5"/>
    </row>
    <row r="19" spans="1:16" ht="120.75" customHeight="1" x14ac:dyDescent="0.2">
      <c r="A19" s="27"/>
      <c r="B19" s="159" t="s">
        <v>151</v>
      </c>
      <c r="C19" s="159"/>
      <c r="D19" s="159"/>
      <c r="E19" s="159"/>
      <c r="F19" s="159"/>
      <c r="G19" s="25" t="s">
        <v>338</v>
      </c>
      <c r="H19" s="28"/>
      <c r="I19" s="5"/>
      <c r="J19" s="5"/>
      <c r="K19" s="5"/>
      <c r="L19" s="5"/>
      <c r="M19" s="5"/>
      <c r="N19" s="5"/>
      <c r="O19" s="5"/>
      <c r="P19" s="5"/>
    </row>
    <row r="20" spans="1:16" ht="55.5" customHeight="1" x14ac:dyDescent="0.2">
      <c r="A20" s="27"/>
      <c r="B20" s="159" t="s">
        <v>402</v>
      </c>
      <c r="C20" s="159"/>
      <c r="D20" s="159"/>
      <c r="E20" s="159"/>
      <c r="F20" s="159"/>
      <c r="G20" s="25" t="s">
        <v>338</v>
      </c>
      <c r="H20" s="28"/>
      <c r="I20" s="5"/>
      <c r="J20" s="5"/>
      <c r="K20" s="5"/>
      <c r="L20" s="5"/>
      <c r="M20" s="5"/>
      <c r="N20" s="5"/>
      <c r="O20" s="5"/>
      <c r="P20" s="5"/>
    </row>
    <row r="21" spans="1:16" x14ac:dyDescent="0.2">
      <c r="B21" s="3"/>
      <c r="C21" s="26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6" x14ac:dyDescent="0.2">
      <c r="A22" s="150" t="s">
        <v>192</v>
      </c>
      <c r="B22" s="151"/>
      <c r="C22" s="152"/>
      <c r="D22" s="153"/>
      <c r="E22" s="154"/>
      <c r="F22" s="155" t="s">
        <v>178</v>
      </c>
      <c r="G22" s="156"/>
      <c r="H22" s="157"/>
      <c r="I22" s="152"/>
      <c r="J22" s="153"/>
      <c r="K22" s="158"/>
    </row>
    <row r="23" spans="1:16" x14ac:dyDescent="0.2">
      <c r="A23" s="7"/>
      <c r="B23" s="10"/>
    </row>
    <row r="24" spans="1:16" x14ac:dyDescent="0.2">
      <c r="A24" s="6"/>
      <c r="B24" s="10"/>
      <c r="C24" s="15"/>
      <c r="D24" s="10"/>
      <c r="E24" s="10"/>
      <c r="F24" s="10"/>
      <c r="G24" s="10"/>
      <c r="H24" s="10"/>
      <c r="I24" s="10"/>
      <c r="J24" s="10"/>
      <c r="K24" s="10"/>
    </row>
    <row r="25" spans="1:16" x14ac:dyDescent="0.2">
      <c r="A25" s="7"/>
      <c r="B25" s="7"/>
      <c r="C25" s="16"/>
    </row>
    <row r="26" spans="1:16" x14ac:dyDescent="0.2">
      <c r="K26" s="4"/>
      <c r="L26" s="4"/>
    </row>
    <row r="27" spans="1:16" x14ac:dyDescent="0.2">
      <c r="K27" s="4"/>
      <c r="L27" s="4"/>
    </row>
    <row r="28" spans="1:16" x14ac:dyDescent="0.2">
      <c r="I28" s="10"/>
      <c r="J28" s="10"/>
      <c r="K28" s="23"/>
      <c r="L28" s="14"/>
    </row>
    <row r="29" spans="1:16" x14ac:dyDescent="0.2">
      <c r="I29" s="14"/>
      <c r="J29" s="14"/>
      <c r="K29" s="14"/>
    </row>
  </sheetData>
  <customSheetViews>
    <customSheetView guid="{D0B43696-C677-428B-89B5-FA762F48CCFE}" showPageBreaks="1" printArea="1" view="pageBreakPreview" topLeftCell="A4">
      <selection activeCell="H19" sqref="H19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0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 topLeftCell="A4">
      <selection activeCell="H19" sqref="H19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0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22:B22"/>
    <mergeCell ref="C22:E22"/>
    <mergeCell ref="F22:H22"/>
    <mergeCell ref="I22:K22"/>
    <mergeCell ref="B19:F19"/>
    <mergeCell ref="B20:F20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0" orientation="landscape" horizontalDpi="300" verticalDpi="300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6"/>
  <dimension ref="A2:P38"/>
  <sheetViews>
    <sheetView view="pageBreakPreview" topLeftCell="A22" zoomScaleNormal="100" zoomScaleSheetLayoutView="100" workbookViewId="0">
      <selection activeCell="B29" sqref="B29:F29"/>
    </sheetView>
  </sheetViews>
  <sheetFormatPr defaultRowHeight="12.75" x14ac:dyDescent="0.2"/>
  <cols>
    <col min="1" max="1" width="5" customWidth="1"/>
    <col min="2" max="2" width="23.5703125" customWidth="1"/>
    <col min="3" max="3" width="12.140625" customWidth="1"/>
    <col min="4" max="4" width="11.28515625" customWidth="1"/>
    <col min="5" max="6" width="11.7109375" customWidth="1"/>
    <col min="7" max="7" width="11.85546875" customWidth="1"/>
    <col min="8" max="8" width="13.71093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</v>
      </c>
      <c r="C2" s="21">
        <v>5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43" t="s">
        <v>176</v>
      </c>
      <c r="B4" s="144"/>
      <c r="C4" s="147" t="s">
        <v>451</v>
      </c>
      <c r="D4" s="148"/>
      <c r="E4" s="148"/>
      <c r="F4" s="148"/>
      <c r="G4" s="148"/>
      <c r="H4" s="148"/>
      <c r="I4" s="148"/>
      <c r="J4" s="148"/>
      <c r="K4" s="149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24">
        <v>1</v>
      </c>
      <c r="B9" s="24" t="s">
        <v>369</v>
      </c>
      <c r="C9" s="25">
        <v>2500407</v>
      </c>
      <c r="D9" s="25">
        <v>2005</v>
      </c>
      <c r="E9" s="41">
        <v>45004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">
      <c r="A10" s="24">
        <v>2</v>
      </c>
      <c r="B10" s="24" t="s">
        <v>358</v>
      </c>
      <c r="C10" s="25">
        <v>2512928</v>
      </c>
      <c r="D10" s="25">
        <v>2005</v>
      </c>
      <c r="E10" s="41">
        <v>45004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x14ac:dyDescent="0.2">
      <c r="A11" s="24">
        <v>3</v>
      </c>
      <c r="B11" s="24" t="s">
        <v>359</v>
      </c>
      <c r="C11" s="25">
        <v>2707212</v>
      </c>
      <c r="D11" s="25">
        <v>2007</v>
      </c>
      <c r="E11" s="41">
        <v>45004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x14ac:dyDescent="0.2">
      <c r="A12" s="24">
        <v>4</v>
      </c>
      <c r="B12" s="24" t="s">
        <v>360</v>
      </c>
      <c r="C12" s="25" t="s">
        <v>361</v>
      </c>
      <c r="D12" s="25">
        <v>2009</v>
      </c>
      <c r="E12" s="41">
        <v>45004</v>
      </c>
      <c r="F12" s="25"/>
      <c r="G12" s="25"/>
      <c r="H12" s="25"/>
      <c r="I12" s="5"/>
      <c r="J12" s="5"/>
      <c r="K12" s="5"/>
      <c r="L12" s="5"/>
      <c r="M12" s="5"/>
      <c r="N12" s="5"/>
      <c r="O12" s="5"/>
      <c r="P12" s="5"/>
    </row>
    <row r="13" spans="1:16" x14ac:dyDescent="0.2">
      <c r="A13" s="24">
        <v>5</v>
      </c>
      <c r="B13" s="24" t="s">
        <v>370</v>
      </c>
      <c r="C13" s="25">
        <v>2400846</v>
      </c>
      <c r="D13" s="25">
        <v>2014</v>
      </c>
      <c r="E13" s="41">
        <v>44859</v>
      </c>
      <c r="F13" s="25"/>
      <c r="G13" s="25"/>
      <c r="H13" s="25"/>
      <c r="I13" s="5"/>
      <c r="J13" s="5"/>
      <c r="K13" s="5"/>
      <c r="L13" s="5"/>
      <c r="M13" s="5"/>
      <c r="N13" s="5"/>
      <c r="O13" s="5"/>
      <c r="P13" s="5"/>
    </row>
    <row r="14" spans="1:16" x14ac:dyDescent="0.2">
      <c r="A14" s="24">
        <v>6</v>
      </c>
      <c r="B14" s="24" t="s">
        <v>371</v>
      </c>
      <c r="C14" s="25">
        <v>2414276</v>
      </c>
      <c r="D14" s="25">
        <v>2014</v>
      </c>
      <c r="E14" s="41">
        <v>45004</v>
      </c>
      <c r="F14" s="25"/>
      <c r="G14" s="25"/>
      <c r="H14" s="25"/>
      <c r="I14" s="5"/>
      <c r="J14" s="5"/>
      <c r="K14" s="5"/>
      <c r="L14" s="5"/>
      <c r="M14" s="5"/>
      <c r="N14" s="5"/>
      <c r="O14" s="5"/>
      <c r="P14" s="5"/>
    </row>
    <row r="15" spans="1:16" x14ac:dyDescent="0.2">
      <c r="A15" s="24">
        <v>7</v>
      </c>
      <c r="B15" s="24" t="s">
        <v>55</v>
      </c>
      <c r="C15" s="25">
        <v>2731449</v>
      </c>
      <c r="D15" s="25">
        <v>2017</v>
      </c>
      <c r="E15" s="41">
        <v>44988</v>
      </c>
      <c r="F15" s="25"/>
      <c r="G15" s="25"/>
      <c r="H15" s="25"/>
      <c r="I15" s="5"/>
      <c r="J15" s="5"/>
      <c r="K15" s="5"/>
      <c r="L15" s="5"/>
      <c r="M15" s="5"/>
      <c r="N15" s="5"/>
      <c r="O15" s="5"/>
      <c r="P15" s="5"/>
    </row>
    <row r="16" spans="1:16" x14ac:dyDescent="0.2">
      <c r="A16" s="24">
        <v>8</v>
      </c>
      <c r="B16" s="24" t="s">
        <v>55</v>
      </c>
      <c r="C16" s="25">
        <v>2731452</v>
      </c>
      <c r="D16" s="25">
        <v>2017</v>
      </c>
      <c r="E16" s="41">
        <v>44936</v>
      </c>
      <c r="F16" s="25"/>
      <c r="G16" s="25"/>
      <c r="H16" s="25"/>
      <c r="I16" s="5"/>
      <c r="J16" s="5"/>
      <c r="K16" s="5"/>
      <c r="L16" s="5"/>
      <c r="M16" s="5"/>
      <c r="N16" s="5"/>
      <c r="O16" s="5"/>
      <c r="P16" s="5"/>
    </row>
    <row r="17" spans="1:16" x14ac:dyDescent="0.2">
      <c r="A17" s="24">
        <v>9</v>
      </c>
      <c r="B17" s="24" t="str">
        <f>"OFP-2"</f>
        <v>OFP-2</v>
      </c>
      <c r="C17" s="25" t="str">
        <f>"21413143"</f>
        <v>21413143</v>
      </c>
      <c r="D17" s="25">
        <v>2014</v>
      </c>
      <c r="E17" s="41">
        <v>44859</v>
      </c>
      <c r="F17" s="25"/>
      <c r="G17" s="25"/>
      <c r="H17" s="25"/>
      <c r="I17" s="5"/>
      <c r="J17" s="5"/>
      <c r="K17" s="5"/>
      <c r="L17" s="5"/>
      <c r="M17" s="5"/>
      <c r="N17" s="5"/>
      <c r="O17" s="5"/>
      <c r="P17" s="5"/>
    </row>
    <row r="18" spans="1:16" x14ac:dyDescent="0.2">
      <c r="A18" s="24">
        <v>10</v>
      </c>
      <c r="B18" s="24" t="str">
        <f>"OFP-2"</f>
        <v>OFP-2</v>
      </c>
      <c r="C18" s="25" t="str">
        <f>"21411277"</f>
        <v>21411277</v>
      </c>
      <c r="D18" s="25">
        <v>2014</v>
      </c>
      <c r="E18" s="41">
        <v>44859</v>
      </c>
      <c r="F18" s="25"/>
      <c r="G18" s="25"/>
      <c r="H18" s="25"/>
      <c r="I18" s="5"/>
      <c r="J18" s="5"/>
      <c r="K18" s="5"/>
      <c r="L18" s="5"/>
      <c r="M18" s="5"/>
      <c r="N18" s="5"/>
      <c r="O18" s="5"/>
      <c r="P18" s="5"/>
    </row>
    <row r="19" spans="1:16" x14ac:dyDescent="0.2">
      <c r="A19" s="24">
        <v>11</v>
      </c>
      <c r="B19" s="24" t="str">
        <f>"CV-160"</f>
        <v>CV-160</v>
      </c>
      <c r="C19" s="25" t="str">
        <f>"7539116"</f>
        <v>7539116</v>
      </c>
      <c r="D19" s="25">
        <v>2006</v>
      </c>
      <c r="E19" s="41">
        <v>44859</v>
      </c>
      <c r="F19" s="25"/>
      <c r="G19" s="25"/>
      <c r="H19" s="25"/>
      <c r="I19" s="5"/>
      <c r="J19" s="5"/>
      <c r="K19" s="5"/>
      <c r="L19" s="5"/>
      <c r="M19" s="5"/>
      <c r="N19" s="5"/>
      <c r="O19" s="5"/>
      <c r="P19" s="5"/>
    </row>
    <row r="20" spans="1:16" x14ac:dyDescent="0.2">
      <c r="A20" s="24">
        <v>12</v>
      </c>
      <c r="B20" s="24" t="str">
        <f>"CV-190"</f>
        <v>CV-190</v>
      </c>
      <c r="C20" s="25" t="str">
        <f>"7455791"</f>
        <v>7455791</v>
      </c>
      <c r="D20" s="25">
        <v>2014</v>
      </c>
      <c r="E20" s="41">
        <v>44859</v>
      </c>
      <c r="F20" s="25"/>
      <c r="G20" s="25"/>
      <c r="H20" s="25"/>
      <c r="I20" s="5"/>
      <c r="J20" s="5"/>
      <c r="K20" s="5"/>
      <c r="L20" s="5"/>
      <c r="M20" s="5"/>
      <c r="N20" s="5"/>
      <c r="O20" s="5"/>
      <c r="P20" s="5"/>
    </row>
    <row r="21" spans="1:16" x14ac:dyDescent="0.2">
      <c r="A21" s="24">
        <v>13</v>
      </c>
      <c r="B21" s="24" t="str">
        <f>"CV-190"</f>
        <v>CV-190</v>
      </c>
      <c r="C21" s="25" t="str">
        <f>"7406699"</f>
        <v>7406699</v>
      </c>
      <c r="D21" s="25">
        <v>2014</v>
      </c>
      <c r="E21" s="41">
        <v>44859</v>
      </c>
      <c r="F21" s="25"/>
      <c r="G21" s="25"/>
      <c r="H21" s="25"/>
      <c r="I21" s="5"/>
      <c r="J21" s="5"/>
      <c r="K21" s="5"/>
      <c r="L21" s="5"/>
      <c r="M21" s="5"/>
      <c r="N21" s="5"/>
      <c r="O21" s="5"/>
      <c r="P21" s="5"/>
    </row>
    <row r="22" spans="1:16" x14ac:dyDescent="0.2">
      <c r="A22" s="24">
        <v>14</v>
      </c>
      <c r="B22" s="24" t="str">
        <f>"Wózek endoskopowy"</f>
        <v>Wózek endoskopowy</v>
      </c>
      <c r="C22" s="25" t="str">
        <f>"802-59-1"</f>
        <v>802-59-1</v>
      </c>
      <c r="D22" s="25">
        <v>2006</v>
      </c>
      <c r="E22" s="41">
        <v>44859</v>
      </c>
      <c r="F22" s="25"/>
      <c r="G22" s="25"/>
      <c r="H22" s="25"/>
      <c r="I22" s="5"/>
      <c r="J22" s="5"/>
      <c r="K22" s="5"/>
      <c r="L22" s="5"/>
      <c r="M22" s="5"/>
      <c r="N22" s="5"/>
      <c r="O22" s="5"/>
      <c r="P22" s="5"/>
    </row>
    <row r="23" spans="1:16" x14ac:dyDescent="0.2">
      <c r="A23" s="24">
        <v>15</v>
      </c>
      <c r="B23" s="24" t="str">
        <f>"WM-NP2"</f>
        <v>WM-NP2</v>
      </c>
      <c r="C23" s="25" t="str">
        <f>"21415444"</f>
        <v>21415444</v>
      </c>
      <c r="D23" s="25">
        <v>2014</v>
      </c>
      <c r="E23" s="41">
        <v>44859</v>
      </c>
      <c r="F23" s="25"/>
      <c r="G23" s="25"/>
      <c r="H23" s="25"/>
      <c r="I23" s="5"/>
      <c r="J23" s="5"/>
      <c r="K23" s="5"/>
      <c r="L23" s="5"/>
      <c r="M23" s="5"/>
      <c r="N23" s="5"/>
      <c r="O23" s="5"/>
      <c r="P23" s="5"/>
    </row>
    <row r="24" spans="1:16" x14ac:dyDescent="0.2">
      <c r="A24" s="24">
        <v>16</v>
      </c>
      <c r="B24" s="24" t="str">
        <f>"WM-NP2"</f>
        <v>WM-NP2</v>
      </c>
      <c r="C24" s="25" t="str">
        <f>"21416379"</f>
        <v>21416379</v>
      </c>
      <c r="D24" s="25">
        <v>2014</v>
      </c>
      <c r="E24" s="41">
        <v>44859</v>
      </c>
      <c r="F24" s="25"/>
      <c r="G24" s="25"/>
      <c r="H24" s="25"/>
      <c r="I24" s="5"/>
      <c r="J24" s="5"/>
      <c r="K24" s="5"/>
      <c r="L24" s="5"/>
      <c r="M24" s="5"/>
      <c r="N24" s="5"/>
      <c r="O24" s="5"/>
      <c r="P24" s="5"/>
    </row>
    <row r="25" spans="1:16" x14ac:dyDescent="0.2">
      <c r="A25" s="24">
        <v>17</v>
      </c>
      <c r="B25" s="24" t="str">
        <f>"CLV-160"</f>
        <v>CLV-160</v>
      </c>
      <c r="C25" s="25" t="str">
        <f>"7546609"</f>
        <v>7546609</v>
      </c>
      <c r="D25" s="25">
        <v>2006</v>
      </c>
      <c r="E25" s="41">
        <v>44859</v>
      </c>
      <c r="F25" s="25"/>
      <c r="G25" s="25"/>
      <c r="H25" s="25"/>
      <c r="I25" s="5"/>
      <c r="J25" s="5"/>
      <c r="K25" s="5"/>
      <c r="L25" s="5"/>
      <c r="M25" s="5"/>
      <c r="N25" s="5"/>
      <c r="O25" s="5"/>
      <c r="P25" s="5"/>
    </row>
    <row r="26" spans="1:16" x14ac:dyDescent="0.2">
      <c r="A26" s="24">
        <v>18</v>
      </c>
      <c r="B26" s="24" t="str">
        <f>"CLV-190"</f>
        <v>CLV-190</v>
      </c>
      <c r="C26" s="25" t="str">
        <f>"7406764"</f>
        <v>7406764</v>
      </c>
      <c r="D26" s="25">
        <v>2014</v>
      </c>
      <c r="E26" s="41">
        <v>44859</v>
      </c>
      <c r="F26" s="25"/>
      <c r="G26" s="25"/>
      <c r="H26" s="25"/>
      <c r="I26" s="5"/>
      <c r="J26" s="5"/>
      <c r="K26" s="5"/>
      <c r="L26" s="5"/>
      <c r="M26" s="5"/>
      <c r="N26" s="5"/>
      <c r="O26" s="5"/>
      <c r="P26" s="5"/>
    </row>
    <row r="27" spans="1:16" x14ac:dyDescent="0.2">
      <c r="A27" s="24">
        <v>19</v>
      </c>
      <c r="B27" s="109" t="str">
        <f>"CLV-190"</f>
        <v>CLV-190</v>
      </c>
      <c r="C27" s="110" t="str">
        <f>"7455798"</f>
        <v>7455798</v>
      </c>
      <c r="D27" s="110">
        <v>2014</v>
      </c>
      <c r="E27" s="41">
        <v>44859</v>
      </c>
      <c r="F27" s="25"/>
      <c r="G27" s="25"/>
      <c r="H27" s="25"/>
      <c r="I27" s="5"/>
      <c r="J27" s="5"/>
      <c r="K27" s="5"/>
      <c r="L27" s="5"/>
      <c r="M27" s="5"/>
      <c r="N27" s="5"/>
      <c r="O27" s="5"/>
      <c r="P27" s="5"/>
    </row>
    <row r="28" spans="1:16" ht="202.15" customHeight="1" x14ac:dyDescent="0.2">
      <c r="A28" s="27"/>
      <c r="B28" s="159" t="s">
        <v>69</v>
      </c>
      <c r="C28" s="159"/>
      <c r="D28" s="159"/>
      <c r="E28" s="159"/>
      <c r="F28" s="159"/>
      <c r="G28" s="25" t="s">
        <v>338</v>
      </c>
      <c r="H28" s="28"/>
      <c r="I28" s="5"/>
      <c r="J28" s="5"/>
      <c r="K28" s="5"/>
      <c r="L28" s="5"/>
      <c r="M28" s="5"/>
      <c r="N28" s="5"/>
      <c r="O28" s="5"/>
      <c r="P28" s="5"/>
    </row>
    <row r="29" spans="1:16" ht="117.75" customHeight="1" x14ac:dyDescent="0.2">
      <c r="A29" s="27"/>
      <c r="B29" s="159" t="s">
        <v>75</v>
      </c>
      <c r="C29" s="159"/>
      <c r="D29" s="159"/>
      <c r="E29" s="159"/>
      <c r="F29" s="159"/>
      <c r="G29" s="25" t="s">
        <v>338</v>
      </c>
      <c r="H29" s="28"/>
      <c r="I29" s="5"/>
      <c r="J29" s="5"/>
      <c r="K29" s="5"/>
      <c r="L29" s="5"/>
      <c r="M29" s="5"/>
      <c r="N29" s="5"/>
      <c r="O29" s="5"/>
      <c r="P29" s="5"/>
    </row>
    <row r="30" spans="1:16" x14ac:dyDescent="0.2">
      <c r="B30" s="3"/>
      <c r="C30" s="26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1:16" x14ac:dyDescent="0.2">
      <c r="A31" s="150" t="s">
        <v>192</v>
      </c>
      <c r="B31" s="163"/>
      <c r="C31" s="152"/>
      <c r="D31" s="153"/>
      <c r="E31" s="154"/>
      <c r="F31" s="155" t="s">
        <v>178</v>
      </c>
      <c r="G31" s="156"/>
      <c r="H31" s="157"/>
      <c r="I31" s="152"/>
      <c r="J31" s="153"/>
      <c r="K31" s="158"/>
    </row>
    <row r="32" spans="1:16" x14ac:dyDescent="0.2">
      <c r="A32" s="7"/>
      <c r="B32" s="10"/>
    </row>
    <row r="33" spans="1:12" x14ac:dyDescent="0.2">
      <c r="A33" s="6"/>
      <c r="B33" s="10"/>
      <c r="C33" s="15"/>
      <c r="D33" s="10"/>
      <c r="E33" s="10"/>
      <c r="F33" s="10"/>
      <c r="G33" s="10"/>
      <c r="H33" s="10"/>
      <c r="I33" s="10"/>
      <c r="J33" s="10"/>
      <c r="K33" s="10"/>
    </row>
    <row r="34" spans="1:12" x14ac:dyDescent="0.2">
      <c r="A34" s="7"/>
      <c r="B34" s="7"/>
      <c r="C34" s="16"/>
    </row>
    <row r="35" spans="1:12" x14ac:dyDescent="0.2">
      <c r="K35" s="4"/>
      <c r="L35" s="4"/>
    </row>
    <row r="36" spans="1:12" x14ac:dyDescent="0.2">
      <c r="K36" s="4"/>
      <c r="L36" s="4"/>
    </row>
    <row r="37" spans="1:12" x14ac:dyDescent="0.2">
      <c r="I37" s="10"/>
      <c r="J37" s="10"/>
      <c r="K37" s="23"/>
      <c r="L37" s="14"/>
    </row>
    <row r="38" spans="1:12" x14ac:dyDescent="0.2">
      <c r="I38" s="14"/>
      <c r="J38" s="14"/>
      <c r="K38" s="14"/>
    </row>
  </sheetData>
  <customSheetViews>
    <customSheetView guid="{D0B43696-C677-428B-89B5-FA762F48CCFE}" showPageBreaks="1" printArea="1" view="pageBreakPreview" topLeftCell="A7">
      <selection activeCell="I29" sqref="I29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76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 topLeftCell="A7">
      <selection activeCell="I29" sqref="I29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76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31:B31"/>
    <mergeCell ref="C31:E31"/>
    <mergeCell ref="F31:H31"/>
    <mergeCell ref="I31:K31"/>
    <mergeCell ref="B28:F28"/>
    <mergeCell ref="B29:F29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76" orientation="landscape" horizontalDpi="300" verticalDpi="300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  <rowBreaks count="1" manualBreakCount="1">
    <brk id="2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7"/>
  <dimension ref="A2:P20"/>
  <sheetViews>
    <sheetView view="pageBreakPreview" zoomScaleNormal="100" zoomScaleSheetLayoutView="100" workbookViewId="0">
      <selection activeCell="C13" sqref="C13:E13"/>
    </sheetView>
  </sheetViews>
  <sheetFormatPr defaultRowHeight="12.75" x14ac:dyDescent="0.2"/>
  <cols>
    <col min="1" max="1" width="4.28515625" customWidth="1"/>
    <col min="2" max="2" width="19.42578125" customWidth="1"/>
    <col min="3" max="3" width="8.85546875" customWidth="1"/>
    <col min="4" max="4" width="12.28515625" customWidth="1"/>
    <col min="5" max="5" width="12.42578125" customWidth="1"/>
    <col min="6" max="6" width="14.7109375" customWidth="1"/>
    <col min="7" max="7" width="12" customWidth="1"/>
    <col min="8" max="8" width="16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</v>
      </c>
      <c r="C2" s="21">
        <v>6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43" t="s">
        <v>176</v>
      </c>
      <c r="B4" s="144"/>
      <c r="C4" s="147" t="s">
        <v>572</v>
      </c>
      <c r="D4" s="148"/>
      <c r="E4" s="148"/>
      <c r="F4" s="148"/>
      <c r="G4" s="148"/>
      <c r="H4" s="148"/>
      <c r="I4" s="148"/>
      <c r="J4" s="148"/>
      <c r="K4" s="149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145" t="s">
        <v>676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39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ht="25.5" x14ac:dyDescent="0.2">
      <c r="A9" s="24">
        <v>1</v>
      </c>
      <c r="B9" s="24" t="s">
        <v>573</v>
      </c>
      <c r="C9" s="25" t="s">
        <v>574</v>
      </c>
      <c r="D9" s="25">
        <v>2017</v>
      </c>
      <c r="E9" s="41">
        <v>44903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ht="131.25" customHeight="1" x14ac:dyDescent="0.2">
      <c r="A10" s="27"/>
      <c r="B10" s="159" t="s">
        <v>379</v>
      </c>
      <c r="C10" s="159"/>
      <c r="D10" s="159"/>
      <c r="E10" s="159"/>
      <c r="F10" s="159"/>
      <c r="G10" s="25" t="s">
        <v>338</v>
      </c>
      <c r="H10" s="28"/>
      <c r="I10" s="5"/>
      <c r="J10" s="5"/>
      <c r="K10" s="5"/>
      <c r="L10" s="5"/>
      <c r="M10" s="5"/>
      <c r="N10" s="5"/>
      <c r="O10" s="5"/>
      <c r="P10" s="5"/>
    </row>
    <row r="11" spans="1:16" ht="61.5" customHeight="1" x14ac:dyDescent="0.2">
      <c r="A11" s="27"/>
      <c r="B11" s="159" t="s">
        <v>402</v>
      </c>
      <c r="C11" s="159"/>
      <c r="D11" s="159"/>
      <c r="E11" s="159"/>
      <c r="F11" s="159"/>
      <c r="G11" s="25" t="s">
        <v>338</v>
      </c>
      <c r="H11" s="28"/>
      <c r="I11" s="5"/>
      <c r="J11" s="5"/>
      <c r="K11" s="5"/>
      <c r="L11" s="5"/>
      <c r="M11" s="5"/>
      <c r="N11" s="5"/>
      <c r="O11" s="5"/>
      <c r="P11" s="5"/>
    </row>
    <row r="12" spans="1:16" x14ac:dyDescent="0.2">
      <c r="A12" s="27"/>
      <c r="B12" s="27"/>
      <c r="C12" s="28"/>
      <c r="D12" s="28"/>
      <c r="E12" s="28"/>
      <c r="F12" s="28"/>
      <c r="G12" s="28"/>
      <c r="H12" s="28"/>
      <c r="I12" s="5"/>
      <c r="J12" s="5"/>
      <c r="K12" s="5"/>
      <c r="L12" s="5"/>
      <c r="M12" s="5"/>
      <c r="N12" s="5"/>
      <c r="O12" s="5"/>
      <c r="P12" s="5"/>
    </row>
    <row r="13" spans="1:16" x14ac:dyDescent="0.2">
      <c r="A13" s="150" t="s">
        <v>177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  <row r="14" spans="1:16" x14ac:dyDescent="0.2">
      <c r="A14" s="7"/>
      <c r="B14" s="10"/>
    </row>
    <row r="15" spans="1:16" x14ac:dyDescent="0.2">
      <c r="A15" s="6"/>
      <c r="B15" s="10"/>
      <c r="C15" s="15"/>
      <c r="D15" s="10"/>
      <c r="E15" s="10"/>
      <c r="F15" s="10"/>
      <c r="G15" s="10"/>
      <c r="H15" s="10"/>
      <c r="I15" s="10"/>
      <c r="J15" s="10"/>
      <c r="K15" s="10"/>
    </row>
    <row r="16" spans="1:16" x14ac:dyDescent="0.2">
      <c r="A16" s="7"/>
      <c r="B16" s="7"/>
      <c r="C16" s="16"/>
    </row>
    <row r="17" spans="9:12" x14ac:dyDescent="0.2">
      <c r="K17" s="4"/>
      <c r="L17" s="4"/>
    </row>
    <row r="18" spans="9:12" x14ac:dyDescent="0.2">
      <c r="K18" s="4"/>
      <c r="L18" s="4"/>
    </row>
    <row r="19" spans="9:12" x14ac:dyDescent="0.2">
      <c r="I19" s="10"/>
      <c r="J19" s="10"/>
      <c r="K19" s="23"/>
      <c r="L19" s="14"/>
    </row>
    <row r="20" spans="9:12" x14ac:dyDescent="0.2">
      <c r="I20" s="14"/>
      <c r="J20" s="14"/>
      <c r="K20" s="14"/>
    </row>
  </sheetData>
  <customSheetViews>
    <customSheetView guid="{D0B43696-C677-428B-89B5-FA762F48CCFE}" showPageBreaks="1" printArea="1" view="pageBreakPreview">
      <selection activeCell="H10" sqref="H10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91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H10" sqref="H10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91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6:K6"/>
    <mergeCell ref="A4:B4"/>
    <mergeCell ref="C4:K4"/>
    <mergeCell ref="A13:B13"/>
    <mergeCell ref="C13:E13"/>
    <mergeCell ref="F13:H13"/>
    <mergeCell ref="I13:K13"/>
    <mergeCell ref="B10:F10"/>
    <mergeCell ref="B11:F11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91" orientation="landscape" horizontalDpi="300" verticalDpi="300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  <colBreaks count="1" manualBreakCount="1">
    <brk id="1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8"/>
  <dimension ref="A2:P23"/>
  <sheetViews>
    <sheetView view="pageBreakPreview" topLeftCell="A4" zoomScaleNormal="100" zoomScaleSheetLayoutView="100" workbookViewId="0">
      <selection activeCell="C16" sqref="C16:E16"/>
    </sheetView>
  </sheetViews>
  <sheetFormatPr defaultRowHeight="12.75" x14ac:dyDescent="0.2"/>
  <cols>
    <col min="1" max="1" width="4.5703125" customWidth="1"/>
    <col min="2" max="2" width="21.85546875" customWidth="1"/>
    <col min="3" max="3" width="12.5703125" customWidth="1"/>
    <col min="4" max="4" width="11.28515625" customWidth="1"/>
    <col min="5" max="5" width="14.42578125" customWidth="1"/>
    <col min="6" max="6" width="13.140625" customWidth="1"/>
    <col min="7" max="7" width="11.140625" customWidth="1"/>
    <col min="8" max="8" width="14.5703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</v>
      </c>
      <c r="C2" s="21">
        <v>7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43" t="s">
        <v>176</v>
      </c>
      <c r="B4" s="144"/>
      <c r="C4" s="147" t="s">
        <v>594</v>
      </c>
      <c r="D4" s="148"/>
      <c r="E4" s="148"/>
      <c r="F4" s="148"/>
      <c r="G4" s="148"/>
      <c r="H4" s="148"/>
      <c r="I4" s="148"/>
      <c r="J4" s="148"/>
      <c r="K4" s="149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39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24">
        <v>1</v>
      </c>
      <c r="B9" s="24" t="s">
        <v>474</v>
      </c>
      <c r="C9" s="25" t="s">
        <v>475</v>
      </c>
      <c r="D9" s="25">
        <v>2012</v>
      </c>
      <c r="E9" s="90">
        <v>44864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">
      <c r="A10" s="24">
        <v>2</v>
      </c>
      <c r="B10" s="24" t="s">
        <v>474</v>
      </c>
      <c r="C10" s="25" t="s">
        <v>407</v>
      </c>
      <c r="D10" s="25">
        <v>2012</v>
      </c>
      <c r="E10" s="41">
        <v>44813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x14ac:dyDescent="0.2">
      <c r="A11" s="24">
        <v>3</v>
      </c>
      <c r="B11" s="24" t="s">
        <v>474</v>
      </c>
      <c r="C11" s="25" t="s">
        <v>420</v>
      </c>
      <c r="D11" s="25">
        <v>2007</v>
      </c>
      <c r="E11" s="41">
        <v>45000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x14ac:dyDescent="0.2">
      <c r="A12" s="24">
        <v>4</v>
      </c>
      <c r="B12" s="24" t="s">
        <v>367</v>
      </c>
      <c r="C12" s="25" t="s">
        <v>368</v>
      </c>
      <c r="D12" s="25">
        <v>2010</v>
      </c>
      <c r="E12" s="41">
        <v>44820</v>
      </c>
      <c r="F12" s="25"/>
      <c r="G12" s="25"/>
      <c r="H12" s="25"/>
      <c r="I12" s="5"/>
      <c r="J12" s="5"/>
      <c r="K12" s="5"/>
      <c r="L12" s="5"/>
      <c r="M12" s="5"/>
      <c r="N12" s="5"/>
      <c r="O12" s="5"/>
      <c r="P12" s="5"/>
    </row>
    <row r="13" spans="1:16" ht="112.15" customHeight="1" x14ac:dyDescent="0.2">
      <c r="A13" s="27"/>
      <c r="B13" s="159" t="s">
        <v>379</v>
      </c>
      <c r="C13" s="159"/>
      <c r="D13" s="159"/>
      <c r="E13" s="159"/>
      <c r="F13" s="159"/>
      <c r="G13" s="25" t="s">
        <v>338</v>
      </c>
      <c r="H13" s="28"/>
      <c r="I13" s="5"/>
      <c r="J13" s="5"/>
      <c r="K13" s="5"/>
      <c r="L13" s="5"/>
      <c r="M13" s="5"/>
      <c r="N13" s="5"/>
      <c r="O13" s="5"/>
      <c r="P13" s="5"/>
    </row>
    <row r="14" spans="1:16" ht="56.25" customHeight="1" x14ac:dyDescent="0.2">
      <c r="A14" s="27"/>
      <c r="B14" s="159" t="s">
        <v>402</v>
      </c>
      <c r="C14" s="159"/>
      <c r="D14" s="159"/>
      <c r="E14" s="159"/>
      <c r="F14" s="159"/>
      <c r="G14" s="25" t="s">
        <v>338</v>
      </c>
      <c r="H14" s="28"/>
      <c r="I14" s="5"/>
      <c r="J14" s="5"/>
      <c r="K14" s="5"/>
      <c r="L14" s="5"/>
      <c r="M14" s="5"/>
      <c r="N14" s="5"/>
      <c r="O14" s="5"/>
      <c r="P14" s="5"/>
    </row>
    <row r="15" spans="1:16" x14ac:dyDescent="0.2">
      <c r="A15" s="27"/>
      <c r="B15" s="27"/>
      <c r="C15" s="28"/>
      <c r="D15" s="28"/>
      <c r="E15" s="28"/>
      <c r="F15" s="28"/>
      <c r="G15" s="28"/>
      <c r="H15" s="28"/>
      <c r="I15" s="5"/>
      <c r="J15" s="5"/>
      <c r="K15" s="5"/>
      <c r="L15" s="5"/>
      <c r="M15" s="5"/>
      <c r="N15" s="5"/>
      <c r="O15" s="5"/>
      <c r="P15" s="5"/>
    </row>
    <row r="16" spans="1:16" x14ac:dyDescent="0.2">
      <c r="A16" s="150" t="s">
        <v>177</v>
      </c>
      <c r="B16" s="151"/>
      <c r="C16" s="152"/>
      <c r="D16" s="153"/>
      <c r="E16" s="154"/>
      <c r="F16" s="155" t="s">
        <v>178</v>
      </c>
      <c r="G16" s="156"/>
      <c r="H16" s="157"/>
      <c r="I16" s="152"/>
      <c r="J16" s="153"/>
      <c r="K16" s="158"/>
    </row>
    <row r="17" spans="1:12" x14ac:dyDescent="0.2">
      <c r="A17" s="7"/>
      <c r="B17" s="10"/>
    </row>
    <row r="18" spans="1:12" x14ac:dyDescent="0.2">
      <c r="A18" s="6"/>
      <c r="B18" s="10"/>
      <c r="C18" s="15"/>
      <c r="D18" s="10"/>
      <c r="E18" s="10"/>
      <c r="F18" s="10"/>
      <c r="G18" s="10"/>
      <c r="H18" s="10"/>
      <c r="I18" s="10"/>
      <c r="J18" s="10"/>
      <c r="K18" s="10"/>
    </row>
    <row r="19" spans="1:12" x14ac:dyDescent="0.2">
      <c r="A19" s="7"/>
      <c r="B19" s="7"/>
      <c r="C19" s="16"/>
    </row>
    <row r="20" spans="1:12" x14ac:dyDescent="0.2">
      <c r="K20" s="4"/>
      <c r="L20" s="4"/>
    </row>
    <row r="21" spans="1:12" x14ac:dyDescent="0.2">
      <c r="K21" s="4"/>
      <c r="L21" s="4"/>
    </row>
    <row r="22" spans="1:12" x14ac:dyDescent="0.2">
      <c r="I22" s="10"/>
      <c r="J22" s="10"/>
      <c r="K22" s="23"/>
      <c r="L22" s="14"/>
    </row>
    <row r="23" spans="1:12" x14ac:dyDescent="0.2">
      <c r="I23" s="14"/>
      <c r="J23" s="14"/>
      <c r="K23" s="14"/>
    </row>
  </sheetData>
  <customSheetViews>
    <customSheetView guid="{D0B43696-C677-428B-89B5-FA762F48CCFE}" showPageBreaks="1" printArea="1" view="pageBreakPreview">
      <selection activeCell="H14" sqref="H1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9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H14" sqref="H1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9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B14:F14"/>
    <mergeCell ref="A4:B4"/>
    <mergeCell ref="C4:K4"/>
    <mergeCell ref="A16:B16"/>
    <mergeCell ref="C16:E16"/>
    <mergeCell ref="F16:H16"/>
    <mergeCell ref="I16:K16"/>
    <mergeCell ref="B13:F13"/>
    <mergeCell ref="B6:K6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9" orientation="landscape" horizontalDpi="300" verticalDpi="300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  <colBreaks count="1" manualBreakCount="1">
    <brk id="1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9"/>
  <dimension ref="A2:P22"/>
  <sheetViews>
    <sheetView tabSelected="1" view="pageLayout" zoomScaleNormal="100" zoomScaleSheetLayoutView="100" workbookViewId="0">
      <selection activeCell="K9" sqref="K9"/>
    </sheetView>
  </sheetViews>
  <sheetFormatPr defaultRowHeight="12.75" x14ac:dyDescent="0.2"/>
  <cols>
    <col min="1" max="1" width="3.5703125" customWidth="1"/>
    <col min="2" max="2" width="25.5703125" customWidth="1"/>
    <col min="3" max="3" width="14.5703125" customWidth="1"/>
    <col min="4" max="4" width="12.5703125" customWidth="1"/>
    <col min="5" max="5" width="18.140625" customWidth="1"/>
    <col min="6" max="6" width="11.5703125" customWidth="1"/>
    <col min="7" max="7" width="11.285156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</v>
      </c>
      <c r="C2" s="21">
        <v>8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43" t="s">
        <v>176</v>
      </c>
      <c r="B4" s="144"/>
      <c r="C4" s="147" t="s">
        <v>495</v>
      </c>
      <c r="D4" s="148"/>
      <c r="E4" s="148"/>
      <c r="F4" s="148"/>
      <c r="G4" s="148"/>
      <c r="H4" s="148"/>
      <c r="I4" s="148"/>
      <c r="J4" s="148"/>
      <c r="K4" s="149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39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ht="25.5" x14ac:dyDescent="0.2">
      <c r="A9" s="24">
        <v>1</v>
      </c>
      <c r="B9" s="30" t="s">
        <v>380</v>
      </c>
      <c r="C9" s="25" t="s">
        <v>476</v>
      </c>
      <c r="D9" s="25">
        <v>2012</v>
      </c>
      <c r="E9" s="25" t="s">
        <v>645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ht="25.5" x14ac:dyDescent="0.2">
      <c r="A10" s="24">
        <v>2</v>
      </c>
      <c r="B10" s="30" t="s">
        <v>380</v>
      </c>
      <c r="C10" s="25" t="s">
        <v>381</v>
      </c>
      <c r="D10" s="25">
        <v>2009</v>
      </c>
      <c r="E10" s="25" t="s">
        <v>645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ht="25.5" x14ac:dyDescent="0.2">
      <c r="A11" s="24">
        <v>3</v>
      </c>
      <c r="B11" s="44" t="s">
        <v>72</v>
      </c>
      <c r="C11" s="25" t="s">
        <v>73</v>
      </c>
      <c r="D11" s="25">
        <v>2014</v>
      </c>
      <c r="E11" s="25" t="s">
        <v>645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ht="366" customHeight="1" x14ac:dyDescent="0.2">
      <c r="A12" s="27"/>
      <c r="B12" s="165" t="s">
        <v>681</v>
      </c>
      <c r="C12" s="165"/>
      <c r="D12" s="165"/>
      <c r="E12" s="165"/>
      <c r="F12" s="165"/>
      <c r="G12" s="31" t="s">
        <v>338</v>
      </c>
      <c r="H12" s="28"/>
      <c r="I12" s="5"/>
      <c r="J12" s="5"/>
      <c r="K12" s="5"/>
      <c r="L12" s="5"/>
      <c r="M12" s="5"/>
      <c r="N12" s="5"/>
      <c r="O12" s="5"/>
      <c r="P12" s="5"/>
    </row>
    <row r="13" spans="1:16" ht="54" customHeight="1" x14ac:dyDescent="0.2">
      <c r="A13" s="27"/>
      <c r="B13" s="159" t="s">
        <v>402</v>
      </c>
      <c r="C13" s="159"/>
      <c r="D13" s="159"/>
      <c r="E13" s="159"/>
      <c r="F13" s="159"/>
      <c r="G13" s="25" t="s">
        <v>338</v>
      </c>
      <c r="H13" s="28"/>
      <c r="I13" s="5"/>
      <c r="J13" s="5"/>
      <c r="K13" s="5"/>
      <c r="L13" s="5"/>
      <c r="M13" s="5"/>
      <c r="N13" s="5"/>
      <c r="O13" s="5"/>
      <c r="P13" s="5"/>
    </row>
    <row r="14" spans="1:16" x14ac:dyDescent="0.2">
      <c r="B14" s="3"/>
      <c r="C14" s="26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6" x14ac:dyDescent="0.2">
      <c r="A15" s="150" t="s">
        <v>192</v>
      </c>
      <c r="B15" s="151"/>
      <c r="C15" s="152"/>
      <c r="D15" s="153"/>
      <c r="E15" s="154"/>
      <c r="F15" s="155" t="s">
        <v>178</v>
      </c>
      <c r="G15" s="156"/>
      <c r="H15" s="157"/>
      <c r="I15" s="152"/>
      <c r="J15" s="153"/>
      <c r="K15" s="158"/>
    </row>
    <row r="16" spans="1:16" x14ac:dyDescent="0.2">
      <c r="A16" s="7"/>
      <c r="B16" s="10"/>
    </row>
    <row r="17" spans="1:12" x14ac:dyDescent="0.2">
      <c r="A17" s="6"/>
      <c r="B17" s="10"/>
      <c r="C17" s="15"/>
      <c r="D17" s="10"/>
      <c r="E17" s="10"/>
      <c r="F17" s="10"/>
      <c r="G17" s="10"/>
      <c r="H17" s="10"/>
      <c r="I17" s="10"/>
      <c r="J17" s="10"/>
      <c r="K17" s="10"/>
    </row>
    <row r="18" spans="1:12" x14ac:dyDescent="0.2">
      <c r="A18" s="7"/>
      <c r="B18" s="7"/>
      <c r="C18" s="16"/>
    </row>
    <row r="19" spans="1:12" x14ac:dyDescent="0.2">
      <c r="K19" s="4"/>
      <c r="L19" s="4"/>
    </row>
    <row r="20" spans="1:12" x14ac:dyDescent="0.2">
      <c r="K20" s="4"/>
      <c r="L20" s="4"/>
    </row>
    <row r="21" spans="1:12" x14ac:dyDescent="0.2">
      <c r="I21" s="10"/>
      <c r="J21" s="10"/>
      <c r="K21" s="23"/>
      <c r="L21" s="14"/>
    </row>
    <row r="22" spans="1:12" x14ac:dyDescent="0.2">
      <c r="I22" s="14"/>
      <c r="J22" s="14"/>
      <c r="K22" s="14"/>
    </row>
  </sheetData>
  <customSheetViews>
    <customSheetView guid="{D0B43696-C677-428B-89B5-FA762F48CCFE}" showPageBreaks="1" printArea="1" view="pageBreakPreview">
      <selection activeCell="H11" sqref="H11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3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H11" sqref="H11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3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A15:B15"/>
    <mergeCell ref="C15:E15"/>
    <mergeCell ref="F15:H15"/>
    <mergeCell ref="I15:K15"/>
    <mergeCell ref="B12:F12"/>
    <mergeCell ref="B6:K6"/>
    <mergeCell ref="B13:F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3" orientation="landscape" horizontalDpi="300" verticalDpi="300" r:id="rId3"/>
  <headerFooter alignWithMargins="0">
    <oddHeader>&amp;R&amp;KFF0000Załącznik nr 1a do SWZ (po zmianie)</oddHeader>
    <oddFooter>&amp;L......................................................................................
podpis osoby uprawnionej do składania oświadczeń woli w imieniu wykonawcy</oddFooter>
  </headerFooter>
  <colBreaks count="1" manualBreakCount="1">
    <brk id="1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10"/>
  <dimension ref="A2:P22"/>
  <sheetViews>
    <sheetView view="pageBreakPreview" zoomScaleNormal="100" zoomScaleSheetLayoutView="100" workbookViewId="0">
      <selection activeCell="C15" sqref="C15:E15"/>
    </sheetView>
  </sheetViews>
  <sheetFormatPr defaultRowHeight="12.75" x14ac:dyDescent="0.2"/>
  <cols>
    <col min="1" max="1" width="3.7109375" customWidth="1"/>
    <col min="2" max="2" width="20.85546875" customWidth="1"/>
    <col min="3" max="3" width="10.85546875" customWidth="1"/>
    <col min="4" max="4" width="11.42578125" customWidth="1"/>
    <col min="5" max="5" width="12.28515625" customWidth="1"/>
    <col min="6" max="6" width="10.42578125" customWidth="1"/>
    <col min="7" max="7" width="13.140625" customWidth="1"/>
    <col min="8" max="8" width="14.285156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</v>
      </c>
      <c r="C2" s="21">
        <v>9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43" t="s">
        <v>176</v>
      </c>
      <c r="B4" s="144"/>
      <c r="C4" s="147" t="s">
        <v>496</v>
      </c>
      <c r="D4" s="148"/>
      <c r="E4" s="148"/>
      <c r="F4" s="148"/>
      <c r="G4" s="148"/>
      <c r="H4" s="148"/>
      <c r="I4" s="148"/>
      <c r="J4" s="148"/>
      <c r="K4" s="149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25.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24">
        <v>1</v>
      </c>
      <c r="B9" s="24" t="s">
        <v>382</v>
      </c>
      <c r="C9" s="25">
        <v>511163</v>
      </c>
      <c r="D9" s="25">
        <v>2006</v>
      </c>
      <c r="E9" s="41">
        <v>44773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">
      <c r="A10" s="24">
        <v>2</v>
      </c>
      <c r="B10" s="24" t="s">
        <v>382</v>
      </c>
      <c r="C10" s="25">
        <v>511165</v>
      </c>
      <c r="D10" s="25">
        <v>2006</v>
      </c>
      <c r="E10" s="41">
        <v>44773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ht="94.5" customHeight="1" x14ac:dyDescent="0.2">
      <c r="A11" s="27"/>
      <c r="B11" s="159" t="s">
        <v>337</v>
      </c>
      <c r="C11" s="159"/>
      <c r="D11" s="159"/>
      <c r="E11" s="159"/>
      <c r="F11" s="159"/>
      <c r="G11" s="25" t="s">
        <v>338</v>
      </c>
      <c r="H11" s="28"/>
      <c r="I11" s="5"/>
      <c r="J11" s="5"/>
      <c r="K11" s="5"/>
      <c r="L11" s="5"/>
      <c r="M11" s="5"/>
      <c r="N11" s="5"/>
      <c r="O11" s="5"/>
      <c r="P11" s="5"/>
    </row>
    <row r="12" spans="1:16" ht="68.25" customHeight="1" x14ac:dyDescent="0.2">
      <c r="A12" s="27"/>
      <c r="B12" s="159" t="s">
        <v>402</v>
      </c>
      <c r="C12" s="159"/>
      <c r="D12" s="159"/>
      <c r="E12" s="159"/>
      <c r="F12" s="159"/>
      <c r="G12" s="25" t="s">
        <v>338</v>
      </c>
      <c r="H12" s="28"/>
      <c r="I12" s="5"/>
      <c r="J12" s="5"/>
      <c r="K12" s="5"/>
      <c r="L12" s="5"/>
      <c r="M12" s="5"/>
      <c r="N12" s="5"/>
      <c r="O12" s="5"/>
      <c r="P12" s="5"/>
    </row>
    <row r="13" spans="1:16" x14ac:dyDescent="0.2">
      <c r="B13" s="3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6" x14ac:dyDescent="0.2">
      <c r="B14" s="3"/>
      <c r="C14" s="26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6" x14ac:dyDescent="0.2">
      <c r="A15" s="150" t="s">
        <v>192</v>
      </c>
      <c r="B15" s="151"/>
      <c r="C15" s="152"/>
      <c r="D15" s="153"/>
      <c r="E15" s="154"/>
      <c r="F15" s="155" t="s">
        <v>178</v>
      </c>
      <c r="G15" s="156"/>
      <c r="H15" s="157"/>
      <c r="I15" s="152"/>
      <c r="J15" s="153"/>
      <c r="K15" s="158"/>
    </row>
    <row r="16" spans="1:16" x14ac:dyDescent="0.2">
      <c r="A16" s="7"/>
      <c r="B16" s="10"/>
    </row>
    <row r="17" spans="1:12" x14ac:dyDescent="0.2">
      <c r="A17" s="6"/>
      <c r="B17" s="10"/>
      <c r="C17" s="15"/>
      <c r="D17" s="10"/>
      <c r="E17" s="10"/>
      <c r="F17" s="10"/>
      <c r="G17" s="10"/>
      <c r="H17" s="10"/>
      <c r="I17" s="10"/>
      <c r="J17" s="10"/>
      <c r="K17" s="10"/>
    </row>
    <row r="18" spans="1:12" x14ac:dyDescent="0.2">
      <c r="A18" s="7"/>
      <c r="B18" s="7"/>
      <c r="C18" s="16"/>
    </row>
    <row r="19" spans="1:12" x14ac:dyDescent="0.2">
      <c r="K19" s="4"/>
      <c r="L19" s="4"/>
    </row>
    <row r="20" spans="1:12" x14ac:dyDescent="0.2">
      <c r="K20" s="4"/>
      <c r="L20" s="4"/>
    </row>
    <row r="21" spans="1:12" x14ac:dyDescent="0.2">
      <c r="I21" s="10"/>
      <c r="J21" s="10"/>
      <c r="K21" s="23"/>
      <c r="L21" s="14"/>
    </row>
    <row r="22" spans="1:12" x14ac:dyDescent="0.2">
      <c r="I22" s="14"/>
      <c r="J22" s="14"/>
      <c r="K22" s="14"/>
    </row>
  </sheetData>
  <customSheetViews>
    <customSheetView guid="{D0B43696-C677-428B-89B5-FA762F48CCFE}" showPageBreaks="1" printArea="1" view="pageBreakPreview">
      <selection activeCell="E9" sqref="E9:E10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93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E9" sqref="E9:E10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93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15:B15"/>
    <mergeCell ref="C15:E15"/>
    <mergeCell ref="F15:H15"/>
    <mergeCell ref="I15:K15"/>
    <mergeCell ref="B11:F11"/>
    <mergeCell ref="B12:F12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4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Arkusz11"/>
  <dimension ref="A2:P20"/>
  <sheetViews>
    <sheetView view="pageBreakPreview" zoomScaleNormal="100" zoomScaleSheetLayoutView="100" workbookViewId="0">
      <selection activeCell="C13" sqref="C13:E13"/>
    </sheetView>
  </sheetViews>
  <sheetFormatPr defaultRowHeight="12.75" x14ac:dyDescent="0.2"/>
  <cols>
    <col min="1" max="1" width="5.7109375" customWidth="1"/>
    <col min="2" max="2" width="24.140625" customWidth="1"/>
    <col min="3" max="3" width="11.85546875" customWidth="1"/>
    <col min="4" max="4" width="12" customWidth="1"/>
    <col min="5" max="5" width="13.285156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</v>
      </c>
      <c r="C2" s="21">
        <v>10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43" t="s">
        <v>176</v>
      </c>
      <c r="B4" s="144"/>
      <c r="C4" s="147" t="s">
        <v>497</v>
      </c>
      <c r="D4" s="148"/>
      <c r="E4" s="148"/>
      <c r="F4" s="148"/>
      <c r="G4" s="148"/>
      <c r="H4" s="148"/>
      <c r="I4" s="148"/>
      <c r="J4" s="148"/>
      <c r="K4" s="149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24">
        <v>1</v>
      </c>
      <c r="B9" s="24" t="s">
        <v>383</v>
      </c>
      <c r="C9" s="25">
        <v>30828</v>
      </c>
      <c r="D9" s="25">
        <v>2009</v>
      </c>
      <c r="E9" s="41">
        <v>44944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ht="58.15" customHeight="1" x14ac:dyDescent="0.2">
      <c r="A10" s="27"/>
      <c r="B10" s="159" t="s">
        <v>71</v>
      </c>
      <c r="C10" s="159"/>
      <c r="D10" s="159"/>
      <c r="E10" s="159"/>
      <c r="F10" s="159"/>
      <c r="G10" s="25" t="s">
        <v>338</v>
      </c>
      <c r="H10" s="28"/>
      <c r="I10" s="5"/>
      <c r="J10" s="5"/>
      <c r="K10" s="5"/>
      <c r="L10" s="5"/>
      <c r="M10" s="5"/>
      <c r="N10" s="5"/>
      <c r="O10" s="5"/>
      <c r="P10" s="5"/>
    </row>
    <row r="11" spans="1:16" ht="84.6" customHeight="1" x14ac:dyDescent="0.2">
      <c r="A11" s="27"/>
      <c r="B11" s="159" t="s">
        <v>131</v>
      </c>
      <c r="C11" s="159"/>
      <c r="D11" s="159"/>
      <c r="E11" s="159"/>
      <c r="F11" s="159"/>
      <c r="G11" s="25" t="s">
        <v>338</v>
      </c>
      <c r="H11" s="28"/>
      <c r="I11" s="5"/>
      <c r="J11" s="5"/>
      <c r="K11" s="5"/>
      <c r="L11" s="5"/>
      <c r="M11" s="5"/>
      <c r="N11" s="5"/>
      <c r="O11" s="5"/>
      <c r="P11" s="5"/>
    </row>
    <row r="12" spans="1:16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  <row r="14" spans="1:16" x14ac:dyDescent="0.2">
      <c r="A14" s="7"/>
      <c r="B14" s="10"/>
    </row>
    <row r="15" spans="1:16" x14ac:dyDescent="0.2">
      <c r="A15" s="6"/>
      <c r="B15" s="10"/>
      <c r="C15" s="15"/>
      <c r="D15" s="10"/>
      <c r="E15" s="10"/>
      <c r="F15" s="10"/>
      <c r="G15" s="10"/>
      <c r="H15" s="10"/>
      <c r="I15" s="10"/>
      <c r="J15" s="10"/>
      <c r="K15" s="10"/>
    </row>
    <row r="16" spans="1:16" x14ac:dyDescent="0.2">
      <c r="A16" s="7"/>
      <c r="B16" s="7"/>
      <c r="C16" s="16"/>
    </row>
    <row r="17" spans="9:12" x14ac:dyDescent="0.2">
      <c r="K17" s="4"/>
      <c r="L17" s="4"/>
    </row>
    <row r="18" spans="9:12" x14ac:dyDescent="0.2">
      <c r="K18" s="4"/>
      <c r="L18" s="4"/>
    </row>
    <row r="19" spans="9:12" x14ac:dyDescent="0.2">
      <c r="I19" s="10"/>
      <c r="J19" s="10"/>
      <c r="K19" s="23"/>
      <c r="L19" s="14"/>
    </row>
    <row r="20" spans="9:12" x14ac:dyDescent="0.2">
      <c r="I20" s="14"/>
      <c r="J20" s="14"/>
      <c r="K20" s="14"/>
    </row>
  </sheetData>
  <customSheetViews>
    <customSheetView guid="{D0B43696-C677-428B-89B5-FA762F48CCFE}" showPageBreaks="1" printArea="1" view="pageBreakPreview">
      <selection activeCell="B11" sqref="B11:F11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8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B11" sqref="B11:F11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8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13:B13"/>
    <mergeCell ref="C13:E13"/>
    <mergeCell ref="F13:H13"/>
    <mergeCell ref="I13:K13"/>
    <mergeCell ref="B10:F10"/>
    <mergeCell ref="B11:F11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0" orientation="landscape" horizontalDpi="300" verticalDpi="300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Arkusz12"/>
  <dimension ref="A2:P24"/>
  <sheetViews>
    <sheetView view="pageBreakPreview" topLeftCell="A4" zoomScaleNormal="100" zoomScaleSheetLayoutView="100" workbookViewId="0">
      <selection activeCell="L22" sqref="L22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6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</v>
      </c>
      <c r="C2" s="21">
        <v>11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43" t="s">
        <v>176</v>
      </c>
      <c r="B4" s="144"/>
      <c r="C4" s="147" t="s">
        <v>498</v>
      </c>
      <c r="D4" s="148"/>
      <c r="E4" s="148"/>
      <c r="F4" s="148"/>
      <c r="G4" s="148"/>
      <c r="H4" s="148"/>
      <c r="I4" s="148"/>
      <c r="J4" s="148"/>
      <c r="K4" s="149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24">
        <v>1</v>
      </c>
      <c r="B9" s="24" t="s">
        <v>384</v>
      </c>
      <c r="C9" s="25" t="s">
        <v>385</v>
      </c>
      <c r="D9" s="25">
        <v>2001</v>
      </c>
      <c r="E9" s="41">
        <v>44862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">
      <c r="A10" s="24">
        <v>2</v>
      </c>
      <c r="B10" s="24" t="s">
        <v>386</v>
      </c>
      <c r="C10" s="25" t="s">
        <v>387</v>
      </c>
      <c r="D10" s="25">
        <v>2007</v>
      </c>
      <c r="E10" s="41">
        <v>44862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x14ac:dyDescent="0.2">
      <c r="A11" s="24">
        <v>3</v>
      </c>
      <c r="B11" s="24" t="s">
        <v>171</v>
      </c>
      <c r="C11" s="25" t="s">
        <v>118</v>
      </c>
      <c r="D11" s="25">
        <v>2011</v>
      </c>
      <c r="E11" s="41">
        <v>44750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x14ac:dyDescent="0.2">
      <c r="A12" s="24">
        <v>4</v>
      </c>
      <c r="B12" s="24" t="s">
        <v>171</v>
      </c>
      <c r="C12" s="35" t="s">
        <v>421</v>
      </c>
      <c r="D12" s="35">
        <v>2014</v>
      </c>
      <c r="E12" s="41">
        <v>44862</v>
      </c>
      <c r="F12" s="25"/>
      <c r="G12" s="25"/>
      <c r="H12" s="25"/>
      <c r="I12" s="5"/>
      <c r="J12" s="5"/>
      <c r="K12" s="5"/>
      <c r="L12" s="5"/>
      <c r="M12" s="5"/>
      <c r="N12" s="5"/>
      <c r="O12" s="5"/>
      <c r="P12" s="5"/>
    </row>
    <row r="13" spans="1:16" x14ac:dyDescent="0.2">
      <c r="A13" s="24">
        <v>5</v>
      </c>
      <c r="B13" s="24" t="s">
        <v>422</v>
      </c>
      <c r="C13" s="25" t="s">
        <v>423</v>
      </c>
      <c r="D13" s="25">
        <v>2014</v>
      </c>
      <c r="E13" s="41">
        <v>44862</v>
      </c>
      <c r="F13" s="25"/>
      <c r="G13" s="25"/>
      <c r="H13" s="25"/>
      <c r="I13" s="5"/>
      <c r="J13" s="5"/>
      <c r="K13" s="5"/>
      <c r="L13" s="5"/>
      <c r="M13" s="5"/>
      <c r="N13" s="5"/>
      <c r="O13" s="5"/>
      <c r="P13" s="5"/>
    </row>
    <row r="14" spans="1:16" ht="54.75" customHeight="1" x14ac:dyDescent="0.2">
      <c r="A14" s="27"/>
      <c r="B14" s="165" t="s">
        <v>71</v>
      </c>
      <c r="C14" s="165"/>
      <c r="D14" s="165"/>
      <c r="E14" s="165"/>
      <c r="F14" s="165"/>
      <c r="G14" s="31" t="s">
        <v>338</v>
      </c>
      <c r="H14" s="28"/>
      <c r="I14" s="5"/>
      <c r="J14" s="5"/>
      <c r="K14" s="5"/>
      <c r="L14" s="5"/>
      <c r="M14" s="5"/>
      <c r="N14" s="5"/>
      <c r="O14" s="5"/>
      <c r="P14" s="5"/>
    </row>
    <row r="15" spans="1:16" ht="81" customHeight="1" x14ac:dyDescent="0.2">
      <c r="A15" s="27"/>
      <c r="B15" s="159" t="s">
        <v>131</v>
      </c>
      <c r="C15" s="159"/>
      <c r="D15" s="159"/>
      <c r="E15" s="159"/>
      <c r="F15" s="159"/>
      <c r="G15" s="25" t="s">
        <v>338</v>
      </c>
      <c r="H15" s="28"/>
      <c r="I15" s="5"/>
      <c r="J15" s="5"/>
      <c r="K15" s="5"/>
      <c r="L15" s="5"/>
      <c r="M15" s="5"/>
      <c r="N15" s="5"/>
      <c r="O15" s="5"/>
      <c r="P15" s="5"/>
    </row>
    <row r="16" spans="1:16" x14ac:dyDescent="0.2">
      <c r="B16" s="3"/>
      <c r="C16" s="26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2" x14ac:dyDescent="0.2">
      <c r="A17" s="150" t="s">
        <v>192</v>
      </c>
      <c r="B17" s="151"/>
      <c r="C17" s="152"/>
      <c r="D17" s="153"/>
      <c r="E17" s="154"/>
      <c r="F17" s="155" t="s">
        <v>178</v>
      </c>
      <c r="G17" s="156"/>
      <c r="H17" s="157"/>
      <c r="I17" s="152"/>
      <c r="J17" s="153"/>
      <c r="K17" s="158"/>
    </row>
    <row r="18" spans="1:12" x14ac:dyDescent="0.2">
      <c r="A18" s="7"/>
      <c r="B18" s="10"/>
    </row>
    <row r="19" spans="1:12" x14ac:dyDescent="0.2">
      <c r="A19" s="6"/>
      <c r="B19" s="10"/>
      <c r="C19" s="15"/>
      <c r="D19" s="10"/>
      <c r="E19" s="10"/>
      <c r="F19" s="10"/>
      <c r="G19" s="10"/>
      <c r="H19" s="10"/>
      <c r="I19" s="10"/>
      <c r="J19" s="10"/>
      <c r="K19" s="10"/>
    </row>
    <row r="20" spans="1:12" x14ac:dyDescent="0.2">
      <c r="A20" s="7"/>
      <c r="B20" s="7"/>
      <c r="C20" s="16"/>
    </row>
    <row r="21" spans="1:12" x14ac:dyDescent="0.2">
      <c r="K21" s="4"/>
      <c r="L21" s="4"/>
    </row>
    <row r="22" spans="1:12" x14ac:dyDescent="0.2">
      <c r="K22" s="4"/>
      <c r="L22" s="4"/>
    </row>
    <row r="23" spans="1:12" x14ac:dyDescent="0.2">
      <c r="I23" s="10"/>
      <c r="J23" s="10"/>
      <c r="K23" s="23"/>
      <c r="L23" s="14"/>
    </row>
    <row r="24" spans="1:12" x14ac:dyDescent="0.2">
      <c r="I24" s="14"/>
      <c r="J24" s="14"/>
      <c r="K24" s="14"/>
    </row>
  </sheetData>
  <customSheetViews>
    <customSheetView guid="{D0B43696-C677-428B-89B5-FA762F48CCFE}" showPageBreaks="1" printArea="1" view="pageBreakPreview">
      <selection activeCell="C2" sqref="C2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7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C2" sqref="C2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7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17:B17"/>
    <mergeCell ref="C17:E17"/>
    <mergeCell ref="F17:H17"/>
    <mergeCell ref="I17:K17"/>
    <mergeCell ref="B14:F14"/>
    <mergeCell ref="B15:F15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79" orientation="landscape" horizontalDpi="300" verticalDpi="300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Arkusz13"/>
  <dimension ref="A2:L15"/>
  <sheetViews>
    <sheetView view="pageBreakPreview" zoomScaleNormal="100" zoomScaleSheetLayoutView="100" workbookViewId="0">
      <selection activeCell="C15" sqref="C15:E15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</v>
      </c>
      <c r="C2" s="21">
        <v>12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43" t="s">
        <v>176</v>
      </c>
      <c r="B4" s="144"/>
      <c r="C4" s="147" t="s">
        <v>126</v>
      </c>
      <c r="D4" s="148"/>
      <c r="E4" s="148"/>
      <c r="F4" s="148"/>
      <c r="G4" s="148"/>
      <c r="H4" s="148"/>
      <c r="I4" s="148"/>
      <c r="J4" s="148"/>
      <c r="K4" s="149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">
      <c r="A9" s="24">
        <v>1</v>
      </c>
      <c r="B9" s="24" t="s">
        <v>430</v>
      </c>
      <c r="C9" s="25">
        <v>11317371</v>
      </c>
      <c r="D9" s="25">
        <v>2010</v>
      </c>
      <c r="E9" s="41">
        <v>44862</v>
      </c>
      <c r="F9" s="25"/>
      <c r="G9" s="25"/>
      <c r="H9" s="25"/>
      <c r="I9" s="5"/>
      <c r="J9" s="5"/>
      <c r="K9" s="5"/>
      <c r="L9" s="5"/>
    </row>
    <row r="10" spans="1:12" x14ac:dyDescent="0.2">
      <c r="A10" s="24">
        <v>2</v>
      </c>
      <c r="B10" s="24" t="s">
        <v>430</v>
      </c>
      <c r="C10" s="32" t="s">
        <v>374</v>
      </c>
      <c r="D10" s="32" t="s">
        <v>372</v>
      </c>
      <c r="E10" s="41">
        <v>44862</v>
      </c>
      <c r="F10" s="25"/>
      <c r="G10" s="25"/>
      <c r="H10" s="25"/>
      <c r="I10" s="5"/>
      <c r="J10" s="5"/>
      <c r="K10" s="5"/>
      <c r="L10" s="5"/>
    </row>
    <row r="11" spans="1:12" x14ac:dyDescent="0.2">
      <c r="A11" s="24">
        <v>3</v>
      </c>
      <c r="B11" s="24" t="s">
        <v>373</v>
      </c>
      <c r="C11" s="38" t="s">
        <v>375</v>
      </c>
      <c r="D11" s="38" t="s">
        <v>372</v>
      </c>
      <c r="E11" s="41">
        <v>44862</v>
      </c>
      <c r="F11" s="25"/>
      <c r="G11" s="25"/>
      <c r="H11" s="25"/>
      <c r="I11" s="5"/>
      <c r="J11" s="5"/>
      <c r="K11" s="5"/>
      <c r="L11" s="5"/>
    </row>
    <row r="12" spans="1:12" ht="57" customHeight="1" x14ac:dyDescent="0.2">
      <c r="A12" s="27"/>
      <c r="B12" s="165" t="s">
        <v>70</v>
      </c>
      <c r="C12" s="165"/>
      <c r="D12" s="165"/>
      <c r="E12" s="165"/>
      <c r="F12" s="165"/>
      <c r="G12" s="31" t="s">
        <v>338</v>
      </c>
      <c r="H12" s="28"/>
      <c r="I12" s="5"/>
      <c r="J12" s="5"/>
      <c r="K12" s="5"/>
      <c r="L12" s="5"/>
    </row>
    <row r="13" spans="1:12" ht="67.5" customHeight="1" x14ac:dyDescent="0.2">
      <c r="A13" s="27"/>
      <c r="B13" s="159" t="s">
        <v>133</v>
      </c>
      <c r="C13" s="159"/>
      <c r="D13" s="159"/>
      <c r="E13" s="159"/>
      <c r="F13" s="159"/>
      <c r="G13" s="25" t="s">
        <v>338</v>
      </c>
      <c r="H13" s="28"/>
      <c r="I13" s="5"/>
      <c r="J13" s="5"/>
      <c r="K13" s="5"/>
      <c r="L13" s="5"/>
    </row>
    <row r="14" spans="1:12" x14ac:dyDescent="0.2">
      <c r="B14" s="3"/>
      <c r="C14" s="26"/>
      <c r="D14" s="5"/>
      <c r="E14" s="5"/>
      <c r="F14" s="5"/>
      <c r="G14" s="5"/>
      <c r="H14" s="5"/>
      <c r="I14" s="5"/>
      <c r="J14" s="5"/>
      <c r="K14" s="5"/>
      <c r="L14" s="5"/>
    </row>
    <row r="15" spans="1:12" x14ac:dyDescent="0.2">
      <c r="A15" s="150" t="s">
        <v>192</v>
      </c>
      <c r="B15" s="151"/>
      <c r="C15" s="152"/>
      <c r="D15" s="153"/>
      <c r="E15" s="154"/>
      <c r="F15" s="155" t="s">
        <v>178</v>
      </c>
      <c r="G15" s="156"/>
      <c r="H15" s="157"/>
      <c r="I15" s="152"/>
      <c r="J15" s="153"/>
      <c r="K15" s="158"/>
    </row>
  </sheetData>
  <customSheetViews>
    <customSheetView guid="{D0B43696-C677-428B-89B5-FA762F48CCFE}" showPageBreaks="1" printArea="1" view="pageBreakPreview">
      <selection activeCell="B14" sqref="B14:F1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B14" sqref="B14:F1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5:B15"/>
    <mergeCell ref="C15:E15"/>
    <mergeCell ref="F15:H15"/>
    <mergeCell ref="I15:K15"/>
    <mergeCell ref="A4:B4"/>
    <mergeCell ref="C4:K4"/>
    <mergeCell ref="B6:L6"/>
    <mergeCell ref="B12:F12"/>
    <mergeCell ref="B13:F13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81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Arkusz14"/>
  <dimension ref="A2:P32"/>
  <sheetViews>
    <sheetView view="pageBreakPreview" topLeftCell="A7" zoomScaleNormal="100" zoomScaleSheetLayoutView="100" workbookViewId="0">
      <selection activeCell="C25" sqref="C25:E25"/>
    </sheetView>
  </sheetViews>
  <sheetFormatPr defaultRowHeight="12.75" x14ac:dyDescent="0.2"/>
  <cols>
    <col min="1" max="1" width="4.7109375" customWidth="1"/>
    <col min="2" max="2" width="23.140625" customWidth="1"/>
    <col min="3" max="3" width="15" customWidth="1"/>
    <col min="4" max="4" width="14.5703125" customWidth="1"/>
    <col min="5" max="5" width="14.140625" customWidth="1"/>
    <col min="6" max="6" width="14.7109375" customWidth="1"/>
    <col min="7" max="7" width="12" customWidth="1"/>
    <col min="8" max="8" width="18.285156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</v>
      </c>
      <c r="C2" s="21">
        <v>13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43" t="s">
        <v>176</v>
      </c>
      <c r="B4" s="144"/>
      <c r="C4" s="147" t="s">
        <v>499</v>
      </c>
      <c r="D4" s="148"/>
      <c r="E4" s="148"/>
      <c r="F4" s="148"/>
      <c r="G4" s="148"/>
      <c r="H4" s="148"/>
      <c r="I4" s="148"/>
      <c r="J4" s="148"/>
      <c r="K4" s="149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24">
        <v>1</v>
      </c>
      <c r="B9" s="24" t="s">
        <v>396</v>
      </c>
      <c r="C9" s="25" t="s">
        <v>397</v>
      </c>
      <c r="D9" s="25">
        <v>2008</v>
      </c>
      <c r="E9" s="90">
        <v>44807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">
      <c r="A10" s="24">
        <v>2</v>
      </c>
      <c r="B10" s="24" t="s">
        <v>396</v>
      </c>
      <c r="C10" s="25" t="s">
        <v>398</v>
      </c>
      <c r="D10" s="25">
        <v>2008</v>
      </c>
      <c r="E10" s="90">
        <v>44807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x14ac:dyDescent="0.2">
      <c r="A11" s="24">
        <v>3</v>
      </c>
      <c r="B11" s="24" t="s">
        <v>399</v>
      </c>
      <c r="C11" s="25" t="s">
        <v>400</v>
      </c>
      <c r="D11" s="25">
        <v>2007</v>
      </c>
      <c r="E11" s="90">
        <v>44807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x14ac:dyDescent="0.2">
      <c r="A12" s="24">
        <v>4</v>
      </c>
      <c r="B12" s="24" t="s">
        <v>390</v>
      </c>
      <c r="C12" s="25">
        <v>1852268</v>
      </c>
      <c r="D12" s="25">
        <v>2004</v>
      </c>
      <c r="E12" s="90">
        <v>44807</v>
      </c>
      <c r="F12" s="25"/>
      <c r="G12" s="25"/>
      <c r="H12" s="25"/>
      <c r="I12" s="5"/>
      <c r="J12" s="5"/>
      <c r="K12" s="5"/>
      <c r="L12" s="5"/>
      <c r="M12" s="5"/>
      <c r="N12" s="5"/>
      <c r="O12" s="5"/>
      <c r="P12" s="5"/>
    </row>
    <row r="13" spans="1:16" x14ac:dyDescent="0.2">
      <c r="A13" s="24">
        <v>5</v>
      </c>
      <c r="B13" s="24" t="s">
        <v>391</v>
      </c>
      <c r="C13" s="25">
        <v>1851759</v>
      </c>
      <c r="D13" s="25">
        <v>2005</v>
      </c>
      <c r="E13" s="90">
        <v>44807</v>
      </c>
      <c r="F13" s="25"/>
      <c r="G13" s="25"/>
      <c r="H13" s="25"/>
      <c r="I13" s="5"/>
      <c r="J13" s="5"/>
      <c r="K13" s="5"/>
      <c r="L13" s="5"/>
      <c r="M13" s="5"/>
      <c r="N13" s="5"/>
      <c r="O13" s="5"/>
      <c r="P13" s="5"/>
    </row>
    <row r="14" spans="1:16" x14ac:dyDescent="0.2">
      <c r="A14" s="24">
        <v>6</v>
      </c>
      <c r="B14" s="24" t="s">
        <v>4</v>
      </c>
      <c r="C14" s="25" t="s">
        <v>5</v>
      </c>
      <c r="D14" s="25">
        <v>2011</v>
      </c>
      <c r="E14" s="90">
        <v>44807</v>
      </c>
      <c r="F14" s="25"/>
      <c r="G14" s="25"/>
      <c r="H14" s="25"/>
      <c r="I14" s="5"/>
      <c r="J14" s="5"/>
      <c r="K14" s="5"/>
      <c r="L14" s="5"/>
      <c r="M14" s="5"/>
      <c r="N14" s="5"/>
      <c r="O14" s="5"/>
      <c r="P14" s="5"/>
    </row>
    <row r="15" spans="1:16" x14ac:dyDescent="0.2">
      <c r="A15" s="24">
        <v>7</v>
      </c>
      <c r="B15" s="24" t="s">
        <v>281</v>
      </c>
      <c r="C15" s="25" t="s">
        <v>328</v>
      </c>
      <c r="D15" s="25">
        <v>2013</v>
      </c>
      <c r="E15" s="90">
        <v>44807</v>
      </c>
      <c r="F15" s="25"/>
      <c r="G15" s="25"/>
      <c r="H15" s="25"/>
      <c r="I15" s="5"/>
      <c r="J15" s="5"/>
      <c r="K15" s="5"/>
      <c r="L15" s="5"/>
      <c r="M15" s="5"/>
      <c r="N15" s="5"/>
      <c r="O15" s="5"/>
      <c r="P15" s="5"/>
    </row>
    <row r="16" spans="1:16" x14ac:dyDescent="0.2">
      <c r="A16" s="24">
        <v>8</v>
      </c>
      <c r="B16" s="24" t="s">
        <v>376</v>
      </c>
      <c r="C16" s="25">
        <v>5005181</v>
      </c>
      <c r="D16" s="25">
        <v>2014</v>
      </c>
      <c r="E16" s="90">
        <v>44895</v>
      </c>
      <c r="F16" s="25"/>
      <c r="G16" s="25"/>
      <c r="H16" s="25"/>
      <c r="I16" s="5"/>
      <c r="J16" s="5"/>
      <c r="K16" s="5"/>
      <c r="L16" s="5"/>
      <c r="M16" s="5"/>
      <c r="N16" s="5"/>
      <c r="O16" s="5"/>
      <c r="P16" s="5"/>
    </row>
    <row r="17" spans="1:16" x14ac:dyDescent="0.2">
      <c r="A17" s="24">
        <v>9</v>
      </c>
      <c r="B17" s="24" t="s">
        <v>376</v>
      </c>
      <c r="C17" s="25">
        <v>5005189</v>
      </c>
      <c r="D17" s="25">
        <v>2014</v>
      </c>
      <c r="E17" s="90">
        <v>44895</v>
      </c>
      <c r="F17" s="25"/>
      <c r="G17" s="25"/>
      <c r="H17" s="25"/>
      <c r="I17" s="5"/>
      <c r="J17" s="5"/>
      <c r="K17" s="5"/>
      <c r="L17" s="5"/>
      <c r="M17" s="5"/>
      <c r="N17" s="5"/>
      <c r="O17" s="5"/>
      <c r="P17" s="5"/>
    </row>
    <row r="18" spans="1:16" x14ac:dyDescent="0.2">
      <c r="A18" s="24">
        <v>10</v>
      </c>
      <c r="B18" s="24" t="str">
        <f>"Arietta V70"</f>
        <v>Arietta V70</v>
      </c>
      <c r="C18" s="25" t="str">
        <f>"205T4957"</f>
        <v>205T4957</v>
      </c>
      <c r="D18" s="25">
        <v>2017</v>
      </c>
      <c r="E18" s="90">
        <v>44895</v>
      </c>
      <c r="F18" s="25"/>
      <c r="G18" s="25"/>
      <c r="H18" s="25"/>
      <c r="I18" s="5"/>
      <c r="J18" s="5"/>
      <c r="K18" s="5"/>
      <c r="L18" s="5"/>
      <c r="M18" s="5"/>
      <c r="N18" s="5"/>
      <c r="O18" s="5"/>
      <c r="P18" s="5"/>
    </row>
    <row r="19" spans="1:16" x14ac:dyDescent="0.2">
      <c r="A19" s="24">
        <v>11</v>
      </c>
      <c r="B19" s="24" t="str">
        <f>"Arietta V70a"</f>
        <v>Arietta V70a</v>
      </c>
      <c r="C19" s="25" t="str">
        <f>"205Q9960"</f>
        <v>205Q9960</v>
      </c>
      <c r="D19" s="25">
        <v>2017</v>
      </c>
      <c r="E19" s="90">
        <v>44895</v>
      </c>
      <c r="F19" s="25"/>
      <c r="G19" s="25"/>
      <c r="H19" s="25"/>
      <c r="I19" s="5"/>
      <c r="J19" s="5"/>
      <c r="K19" s="5"/>
      <c r="L19" s="5"/>
      <c r="M19" s="5"/>
      <c r="N19" s="5"/>
      <c r="O19" s="5"/>
      <c r="P19" s="5"/>
    </row>
    <row r="20" spans="1:16" s="74" customFormat="1" x14ac:dyDescent="0.2">
      <c r="A20" s="24">
        <v>12</v>
      </c>
      <c r="B20" s="24" t="s">
        <v>575</v>
      </c>
      <c r="C20" s="25">
        <v>20612085</v>
      </c>
      <c r="D20" s="25">
        <v>2018</v>
      </c>
      <c r="E20" s="90">
        <v>44807</v>
      </c>
      <c r="F20" s="25"/>
      <c r="G20" s="25"/>
      <c r="H20" s="25"/>
      <c r="I20" s="5"/>
      <c r="J20" s="5"/>
      <c r="K20" s="5"/>
      <c r="L20" s="5"/>
      <c r="M20" s="5"/>
      <c r="N20" s="5"/>
      <c r="O20" s="5"/>
      <c r="P20" s="5"/>
    </row>
    <row r="21" spans="1:16" x14ac:dyDescent="0.2">
      <c r="A21" s="24">
        <v>13</v>
      </c>
      <c r="B21" s="42" t="str">
        <f>"Flex Focus 300"</f>
        <v>Flex Focus 300</v>
      </c>
      <c r="C21" s="35" t="str">
        <f>"5009775"</f>
        <v>5009775</v>
      </c>
      <c r="D21" s="35">
        <v>2017</v>
      </c>
      <c r="E21" s="90">
        <v>44807</v>
      </c>
      <c r="F21" s="25"/>
      <c r="G21" s="25"/>
      <c r="H21" s="25"/>
      <c r="I21" s="5"/>
      <c r="J21" s="5"/>
      <c r="K21" s="5"/>
      <c r="L21" s="5"/>
      <c r="M21" s="5"/>
      <c r="N21" s="5"/>
      <c r="O21" s="5"/>
      <c r="P21" s="5"/>
    </row>
    <row r="22" spans="1:16" ht="78" customHeight="1" x14ac:dyDescent="0.2">
      <c r="A22" s="27"/>
      <c r="B22" s="166" t="s">
        <v>389</v>
      </c>
      <c r="C22" s="166"/>
      <c r="D22" s="166"/>
      <c r="E22" s="166"/>
      <c r="F22" s="166"/>
      <c r="G22" s="31" t="s">
        <v>338</v>
      </c>
      <c r="H22" s="28"/>
      <c r="I22" s="5"/>
      <c r="J22" s="5"/>
      <c r="K22" s="5"/>
      <c r="L22" s="5"/>
      <c r="M22" s="5"/>
      <c r="N22" s="5"/>
      <c r="O22" s="5"/>
      <c r="P22" s="5"/>
    </row>
    <row r="23" spans="1:16" ht="60" customHeight="1" x14ac:dyDescent="0.2">
      <c r="A23" s="27"/>
      <c r="B23" s="159" t="s">
        <v>402</v>
      </c>
      <c r="C23" s="159"/>
      <c r="D23" s="159"/>
      <c r="E23" s="159"/>
      <c r="F23" s="159"/>
      <c r="G23" s="25" t="s">
        <v>338</v>
      </c>
      <c r="H23" s="28"/>
      <c r="I23" s="5"/>
      <c r="J23" s="5"/>
      <c r="K23" s="5"/>
      <c r="L23" s="5"/>
      <c r="M23" s="5"/>
      <c r="N23" s="5"/>
      <c r="O23" s="5"/>
      <c r="P23" s="5"/>
    </row>
    <row r="24" spans="1:16" x14ac:dyDescent="0.2">
      <c r="B24" s="3"/>
      <c r="C24" s="26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16" x14ac:dyDescent="0.2">
      <c r="A25" s="150" t="s">
        <v>177</v>
      </c>
      <c r="B25" s="151"/>
      <c r="C25" s="152"/>
      <c r="D25" s="153"/>
      <c r="E25" s="154"/>
      <c r="F25" s="155" t="s">
        <v>178</v>
      </c>
      <c r="G25" s="156"/>
      <c r="H25" s="157"/>
      <c r="I25" s="152"/>
      <c r="J25" s="153"/>
      <c r="K25" s="158"/>
    </row>
    <row r="26" spans="1:16" x14ac:dyDescent="0.2">
      <c r="A26" s="7"/>
      <c r="B26" s="10"/>
    </row>
    <row r="27" spans="1:16" x14ac:dyDescent="0.2">
      <c r="A27" s="6"/>
      <c r="B27" s="10"/>
      <c r="C27" s="15"/>
      <c r="D27" s="10"/>
      <c r="E27" s="10"/>
      <c r="F27" s="10"/>
      <c r="G27" s="10"/>
      <c r="H27" s="10"/>
      <c r="I27" s="10"/>
      <c r="J27" s="10"/>
      <c r="K27" s="10"/>
    </row>
    <row r="28" spans="1:16" x14ac:dyDescent="0.2">
      <c r="A28" s="7"/>
      <c r="B28" s="7"/>
      <c r="C28" s="16"/>
    </row>
    <row r="29" spans="1:16" x14ac:dyDescent="0.2">
      <c r="K29" s="4"/>
      <c r="L29" s="4"/>
    </row>
    <row r="30" spans="1:16" x14ac:dyDescent="0.2">
      <c r="K30" s="4"/>
      <c r="L30" s="4"/>
    </row>
    <row r="31" spans="1:16" x14ac:dyDescent="0.2">
      <c r="I31" s="10"/>
      <c r="J31" s="10"/>
      <c r="K31" s="23"/>
      <c r="L31" s="14"/>
    </row>
    <row r="32" spans="1:16" x14ac:dyDescent="0.2">
      <c r="I32" s="14"/>
      <c r="J32" s="14"/>
      <c r="K32" s="14"/>
    </row>
  </sheetData>
  <customSheetViews>
    <customSheetView guid="{D0B43696-C677-428B-89B5-FA762F48CCFE}" showPageBreaks="1" printArea="1" view="pageBreakPreview">
      <selection activeCell="I22" sqref="I22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1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I22" sqref="I22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1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25:B25"/>
    <mergeCell ref="C25:E25"/>
    <mergeCell ref="F25:H25"/>
    <mergeCell ref="I25:K25"/>
    <mergeCell ref="B22:F22"/>
    <mergeCell ref="B23:F2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75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Arkusz15"/>
  <dimension ref="A2:P20"/>
  <sheetViews>
    <sheetView view="pageBreakPreview" zoomScaleNormal="100" zoomScaleSheetLayoutView="100" workbookViewId="0">
      <selection activeCell="C13" sqref="C13:E13"/>
    </sheetView>
  </sheetViews>
  <sheetFormatPr defaultRowHeight="12.75" x14ac:dyDescent="0.2"/>
  <cols>
    <col min="1" max="1" width="4" customWidth="1"/>
    <col min="2" max="2" width="22.140625" customWidth="1"/>
    <col min="3" max="3" width="13.5703125" customWidth="1"/>
    <col min="4" max="4" width="13.140625" customWidth="1"/>
    <col min="5" max="5" width="15.5703125" customWidth="1"/>
    <col min="6" max="6" width="13.85546875" customWidth="1"/>
    <col min="7" max="7" width="10.7109375" customWidth="1"/>
    <col min="8" max="8" width="14.285156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</v>
      </c>
      <c r="C2" s="21">
        <v>14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43" t="s">
        <v>176</v>
      </c>
      <c r="B4" s="144"/>
      <c r="C4" s="147" t="s">
        <v>500</v>
      </c>
      <c r="D4" s="148"/>
      <c r="E4" s="148"/>
      <c r="F4" s="148"/>
      <c r="G4" s="148"/>
      <c r="H4" s="148"/>
      <c r="I4" s="148"/>
      <c r="J4" s="148"/>
      <c r="K4" s="149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24">
        <v>1</v>
      </c>
      <c r="B9" s="24" t="s">
        <v>392</v>
      </c>
      <c r="C9" s="25" t="s">
        <v>393</v>
      </c>
      <c r="D9" s="25">
        <v>2007</v>
      </c>
      <c r="E9" s="41">
        <v>44894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ht="123" customHeight="1" x14ac:dyDescent="0.2">
      <c r="A10" s="27"/>
      <c r="B10" s="159" t="s">
        <v>0</v>
      </c>
      <c r="C10" s="159"/>
      <c r="D10" s="159"/>
      <c r="E10" s="159"/>
      <c r="F10" s="159"/>
      <c r="G10" s="25" t="s">
        <v>338</v>
      </c>
      <c r="H10" s="28"/>
      <c r="I10" s="5"/>
      <c r="J10" s="5"/>
      <c r="K10" s="5"/>
      <c r="L10" s="5"/>
      <c r="M10" s="5"/>
      <c r="N10" s="5"/>
      <c r="O10" s="5"/>
      <c r="P10" s="5"/>
    </row>
    <row r="11" spans="1:16" ht="52.5" customHeight="1" x14ac:dyDescent="0.2">
      <c r="A11" s="27"/>
      <c r="B11" s="159" t="s">
        <v>417</v>
      </c>
      <c r="C11" s="159"/>
      <c r="D11" s="159"/>
      <c r="E11" s="159"/>
      <c r="F11" s="159"/>
      <c r="G11" s="25" t="s">
        <v>338</v>
      </c>
      <c r="H11" s="28"/>
      <c r="I11" s="5"/>
      <c r="J11" s="5"/>
      <c r="K11" s="5"/>
      <c r="L11" s="5"/>
      <c r="M11" s="5"/>
      <c r="N11" s="5"/>
      <c r="O11" s="5"/>
      <c r="P11" s="5"/>
    </row>
    <row r="12" spans="1:16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  <row r="14" spans="1:16" x14ac:dyDescent="0.2">
      <c r="A14" s="7"/>
      <c r="B14" s="10"/>
    </row>
    <row r="15" spans="1:16" x14ac:dyDescent="0.2">
      <c r="A15" s="6"/>
      <c r="B15" s="10"/>
      <c r="C15" s="15"/>
      <c r="D15" s="10"/>
      <c r="E15" s="10"/>
      <c r="F15" s="10"/>
      <c r="G15" s="10"/>
      <c r="H15" s="10"/>
      <c r="I15" s="10"/>
      <c r="J15" s="10"/>
      <c r="K15" s="10"/>
    </row>
    <row r="16" spans="1:16" x14ac:dyDescent="0.2">
      <c r="A16" s="7"/>
      <c r="B16" s="7"/>
      <c r="C16" s="16"/>
    </row>
    <row r="17" spans="9:12" x14ac:dyDescent="0.2">
      <c r="K17" s="4"/>
      <c r="L17" s="4"/>
    </row>
    <row r="18" spans="9:12" x14ac:dyDescent="0.2">
      <c r="K18" s="4"/>
      <c r="L18" s="4"/>
    </row>
    <row r="19" spans="9:12" x14ac:dyDescent="0.2">
      <c r="I19" s="10"/>
      <c r="J19" s="10"/>
      <c r="K19" s="23"/>
      <c r="L19" s="14"/>
    </row>
    <row r="20" spans="9:12" x14ac:dyDescent="0.2">
      <c r="I20" s="14"/>
      <c r="J20" s="14"/>
      <c r="K20" s="14"/>
    </row>
  </sheetData>
  <customSheetViews>
    <customSheetView guid="{D0B43696-C677-428B-89B5-FA762F48CCFE}" showPageBreaks="1" printArea="1" view="pageBreakPreview">
      <selection activeCell="B10" sqref="B10:F10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7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B10" sqref="B10:F10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7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13:B13"/>
    <mergeCell ref="C13:E13"/>
    <mergeCell ref="F13:H13"/>
    <mergeCell ref="I13:K13"/>
    <mergeCell ref="B10:F10"/>
    <mergeCell ref="B11:F11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79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Arkusz16"/>
  <dimension ref="A2:P22"/>
  <sheetViews>
    <sheetView view="pageBreakPreview" zoomScaleNormal="100" zoomScaleSheetLayoutView="100" workbookViewId="0">
      <selection activeCell="B12" sqref="B12:F12"/>
    </sheetView>
  </sheetViews>
  <sheetFormatPr defaultRowHeight="12.75" x14ac:dyDescent="0.2"/>
  <cols>
    <col min="1" max="1" width="3.7109375" customWidth="1"/>
    <col min="2" max="2" width="22.85546875" customWidth="1"/>
    <col min="3" max="3" width="11.7109375" customWidth="1"/>
    <col min="4" max="4" width="13.7109375" customWidth="1"/>
    <col min="5" max="5" width="13" customWidth="1"/>
    <col min="6" max="6" width="11.5703125" customWidth="1"/>
    <col min="7" max="7" width="12.5703125" customWidth="1"/>
    <col min="8" max="8" width="14.5703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</v>
      </c>
      <c r="C2" s="21">
        <v>15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43" t="s">
        <v>176</v>
      </c>
      <c r="B4" s="144"/>
      <c r="C4" s="147" t="s">
        <v>501</v>
      </c>
      <c r="D4" s="148"/>
      <c r="E4" s="148"/>
      <c r="F4" s="148"/>
      <c r="G4" s="148"/>
      <c r="H4" s="148"/>
      <c r="I4" s="148"/>
      <c r="J4" s="148"/>
      <c r="K4" s="149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25.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24">
        <v>1</v>
      </c>
      <c r="B9" s="24" t="s">
        <v>478</v>
      </c>
      <c r="C9" s="32" t="s">
        <v>479</v>
      </c>
      <c r="D9" s="25">
        <v>2010</v>
      </c>
      <c r="E9" s="41">
        <v>44806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">
      <c r="A10" s="24">
        <v>2</v>
      </c>
      <c r="B10" s="24" t="s">
        <v>478</v>
      </c>
      <c r="C10" s="32" t="s">
        <v>480</v>
      </c>
      <c r="D10" s="25">
        <v>2008</v>
      </c>
      <c r="E10" s="41">
        <v>44806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x14ac:dyDescent="0.2">
      <c r="A11" s="24">
        <v>3</v>
      </c>
      <c r="B11" s="24" t="s">
        <v>478</v>
      </c>
      <c r="C11" s="32" t="s">
        <v>377</v>
      </c>
      <c r="D11" s="25">
        <v>2014</v>
      </c>
      <c r="E11" s="41">
        <v>44762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ht="74.45" customHeight="1" x14ac:dyDescent="0.2">
      <c r="A12" s="27"/>
      <c r="B12" s="159" t="s">
        <v>173</v>
      </c>
      <c r="C12" s="159"/>
      <c r="D12" s="159"/>
      <c r="E12" s="159"/>
      <c r="F12" s="159"/>
      <c r="G12" s="25" t="s">
        <v>338</v>
      </c>
      <c r="H12" s="28"/>
      <c r="I12" s="5"/>
      <c r="J12" s="5"/>
      <c r="K12" s="5"/>
      <c r="L12" s="5"/>
      <c r="M12" s="5"/>
      <c r="N12" s="5"/>
      <c r="O12" s="5"/>
      <c r="P12" s="5"/>
    </row>
    <row r="13" spans="1:16" ht="71.45" customHeight="1" x14ac:dyDescent="0.2">
      <c r="A13" s="27"/>
      <c r="B13" s="159" t="s">
        <v>132</v>
      </c>
      <c r="C13" s="159"/>
      <c r="D13" s="159"/>
      <c r="E13" s="159"/>
      <c r="F13" s="159"/>
      <c r="G13" s="25" t="s">
        <v>338</v>
      </c>
      <c r="H13" s="28"/>
      <c r="I13" s="5"/>
      <c r="J13" s="5"/>
      <c r="K13" s="5"/>
      <c r="L13" s="5"/>
      <c r="M13" s="5"/>
      <c r="N13" s="5"/>
      <c r="O13" s="5"/>
      <c r="P13" s="5"/>
    </row>
    <row r="14" spans="1:16" x14ac:dyDescent="0.2">
      <c r="B14" s="3"/>
      <c r="C14" s="26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6" x14ac:dyDescent="0.2">
      <c r="A15" s="150" t="s">
        <v>177</v>
      </c>
      <c r="B15" s="151"/>
      <c r="C15" s="152"/>
      <c r="D15" s="153"/>
      <c r="E15" s="154"/>
      <c r="F15" s="155" t="s">
        <v>178</v>
      </c>
      <c r="G15" s="156"/>
      <c r="H15" s="157"/>
      <c r="I15" s="152"/>
      <c r="J15" s="153"/>
      <c r="K15" s="158"/>
    </row>
    <row r="16" spans="1:16" x14ac:dyDescent="0.2">
      <c r="A16" s="7"/>
      <c r="B16" s="10"/>
    </row>
    <row r="17" spans="1:12" x14ac:dyDescent="0.2">
      <c r="A17" s="6"/>
      <c r="B17" s="10"/>
      <c r="C17" s="15"/>
      <c r="D17" s="10"/>
      <c r="E17" s="10"/>
      <c r="F17" s="10"/>
      <c r="G17" s="10"/>
      <c r="H17" s="10"/>
      <c r="I17" s="10"/>
      <c r="J17" s="10"/>
      <c r="K17" s="10"/>
    </row>
    <row r="18" spans="1:12" x14ac:dyDescent="0.2">
      <c r="A18" s="7"/>
      <c r="B18" s="7"/>
      <c r="C18" s="16"/>
    </row>
    <row r="19" spans="1:12" x14ac:dyDescent="0.2">
      <c r="K19" s="4"/>
      <c r="L19" s="4"/>
    </row>
    <row r="20" spans="1:12" x14ac:dyDescent="0.2">
      <c r="K20" s="4"/>
      <c r="L20" s="4"/>
    </row>
    <row r="21" spans="1:12" x14ac:dyDescent="0.2">
      <c r="I21" s="10"/>
      <c r="J21" s="10"/>
      <c r="K21" s="23"/>
      <c r="L21" s="14"/>
    </row>
    <row r="22" spans="1:12" x14ac:dyDescent="0.2">
      <c r="I22" s="14"/>
      <c r="J22" s="14"/>
      <c r="K22" s="14"/>
    </row>
  </sheetData>
  <customSheetViews>
    <customSheetView guid="{D0B43696-C677-428B-89B5-FA762F48CCFE}" showPageBreaks="1" printArea="1" view="pageBreakPreview">
      <selection activeCell="B14" sqref="B14:F1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9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B14" sqref="B14:F1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9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15:B15"/>
    <mergeCell ref="C15:E15"/>
    <mergeCell ref="F15:H15"/>
    <mergeCell ref="I15:K15"/>
    <mergeCell ref="B12:F12"/>
    <mergeCell ref="B13:F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1" orientation="landscape" horizontalDpi="300" verticalDpi="300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Arkusz17"/>
  <dimension ref="A2:P37"/>
  <sheetViews>
    <sheetView view="pageBreakPreview" topLeftCell="A13" zoomScaleNormal="100" zoomScaleSheetLayoutView="100" workbookViewId="0">
      <selection activeCell="C30" sqref="C30:E30"/>
    </sheetView>
  </sheetViews>
  <sheetFormatPr defaultRowHeight="12.75" x14ac:dyDescent="0.2"/>
  <cols>
    <col min="1" max="1" width="4" customWidth="1"/>
    <col min="2" max="2" width="22.140625" customWidth="1"/>
    <col min="3" max="3" width="15.140625" customWidth="1"/>
    <col min="4" max="4" width="13.140625" customWidth="1"/>
    <col min="5" max="5" width="16.42578125" customWidth="1"/>
    <col min="6" max="6" width="10.7109375" customWidth="1"/>
    <col min="7" max="7" width="11.85546875" customWidth="1"/>
    <col min="8" max="8" width="17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</v>
      </c>
      <c r="C2" s="21">
        <v>16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43" t="s">
        <v>176</v>
      </c>
      <c r="B4" s="144"/>
      <c r="C4" s="147" t="s">
        <v>502</v>
      </c>
      <c r="D4" s="148"/>
      <c r="E4" s="148"/>
      <c r="F4" s="148"/>
      <c r="G4" s="148"/>
      <c r="H4" s="148"/>
      <c r="I4" s="148"/>
      <c r="J4" s="148"/>
      <c r="K4" s="149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24">
        <v>1</v>
      </c>
      <c r="B9" s="24" t="str">
        <f>"PV890"</f>
        <v>PV890</v>
      </c>
      <c r="C9" s="25" t="str">
        <f>"1282"</f>
        <v>1282</v>
      </c>
      <c r="D9" s="25">
        <v>2014</v>
      </c>
      <c r="E9" s="41">
        <v>44865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">
      <c r="A10" s="24">
        <v>2</v>
      </c>
      <c r="B10" s="24" t="str">
        <f>"PV890"</f>
        <v>PV890</v>
      </c>
      <c r="C10" s="25" t="str">
        <f>"1284"</f>
        <v>1284</v>
      </c>
      <c r="D10" s="25">
        <v>2014</v>
      </c>
      <c r="E10" s="41">
        <v>44865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x14ac:dyDescent="0.2">
      <c r="A11" s="24">
        <v>3</v>
      </c>
      <c r="B11" s="24" t="str">
        <f>"PV959"</f>
        <v>PV959</v>
      </c>
      <c r="C11" s="25" t="str">
        <f>"14-236612"</f>
        <v>14-236612</v>
      </c>
      <c r="D11" s="25">
        <v>2014</v>
      </c>
      <c r="E11" s="41">
        <v>44865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x14ac:dyDescent="0.2">
      <c r="A12" s="24">
        <v>4</v>
      </c>
      <c r="B12" s="24" t="str">
        <f>"PV959"</f>
        <v>PV959</v>
      </c>
      <c r="C12" s="25" t="str">
        <f>"14-236610"</f>
        <v>14-236610</v>
      </c>
      <c r="D12" s="25">
        <v>2014</v>
      </c>
      <c r="E12" s="41">
        <v>44865</v>
      </c>
      <c r="F12" s="25"/>
      <c r="G12" s="25"/>
      <c r="H12" s="25"/>
      <c r="I12" s="5"/>
      <c r="J12" s="5"/>
      <c r="K12" s="5"/>
      <c r="L12" s="5"/>
      <c r="M12" s="5"/>
      <c r="N12" s="5"/>
      <c r="O12" s="5"/>
      <c r="P12" s="5"/>
    </row>
    <row r="13" spans="1:16" x14ac:dyDescent="0.2">
      <c r="A13" s="24">
        <v>5</v>
      </c>
      <c r="B13" s="24" t="str">
        <f>"PV959"</f>
        <v>PV959</v>
      </c>
      <c r="C13" s="25" t="str">
        <f>"14-236898"</f>
        <v>14-236898</v>
      </c>
      <c r="D13" s="25">
        <v>2014</v>
      </c>
      <c r="E13" s="41">
        <v>44865</v>
      </c>
      <c r="F13" s="25"/>
      <c r="G13" s="25"/>
      <c r="H13" s="25"/>
      <c r="I13" s="5"/>
      <c r="J13" s="5"/>
      <c r="K13" s="5"/>
      <c r="L13" s="5"/>
      <c r="M13" s="5"/>
      <c r="N13" s="5"/>
      <c r="O13" s="5"/>
      <c r="P13" s="5"/>
    </row>
    <row r="14" spans="1:16" x14ac:dyDescent="0.2">
      <c r="A14" s="24">
        <v>6</v>
      </c>
      <c r="B14" s="24" t="str">
        <f>"PV959"</f>
        <v>PV959</v>
      </c>
      <c r="C14" s="25" t="str">
        <f>"14-236902"</f>
        <v>14-236902</v>
      </c>
      <c r="D14" s="25">
        <v>2014</v>
      </c>
      <c r="E14" s="41">
        <v>44865</v>
      </c>
      <c r="F14" s="25"/>
      <c r="G14" s="25"/>
      <c r="H14" s="25"/>
      <c r="I14" s="5"/>
      <c r="J14" s="5"/>
      <c r="K14" s="5"/>
      <c r="L14" s="5"/>
      <c r="M14" s="5"/>
      <c r="N14" s="5"/>
      <c r="O14" s="5"/>
      <c r="P14" s="5"/>
    </row>
    <row r="15" spans="1:16" x14ac:dyDescent="0.2">
      <c r="A15" s="24">
        <v>7</v>
      </c>
      <c r="B15" s="24" t="str">
        <f>"PG080"</f>
        <v>PG080</v>
      </c>
      <c r="C15" s="25" t="str">
        <f>"1405CE294"</f>
        <v>1405CE294</v>
      </c>
      <c r="D15" s="25">
        <v>2014</v>
      </c>
      <c r="E15" s="41">
        <v>44865</v>
      </c>
      <c r="F15" s="25"/>
      <c r="G15" s="25"/>
      <c r="H15" s="25"/>
      <c r="I15" s="5"/>
      <c r="J15" s="5"/>
      <c r="K15" s="5"/>
      <c r="L15" s="5"/>
      <c r="M15" s="5"/>
      <c r="N15" s="5"/>
      <c r="O15" s="5"/>
      <c r="P15" s="5"/>
    </row>
    <row r="16" spans="1:16" x14ac:dyDescent="0.2">
      <c r="A16" s="24">
        <v>8</v>
      </c>
      <c r="B16" s="24" t="str">
        <f>"PG080"</f>
        <v>PG080</v>
      </c>
      <c r="C16" s="25" t="str">
        <f>"1406CE501"</f>
        <v>1406CE501</v>
      </c>
      <c r="D16" s="25">
        <v>2014</v>
      </c>
      <c r="E16" s="41">
        <v>44865</v>
      </c>
      <c r="F16" s="25"/>
      <c r="G16" s="25"/>
      <c r="H16" s="25"/>
      <c r="I16" s="5"/>
      <c r="J16" s="5"/>
      <c r="K16" s="5"/>
      <c r="L16" s="5"/>
      <c r="M16" s="5"/>
      <c r="N16" s="5"/>
      <c r="O16" s="5"/>
      <c r="P16" s="5"/>
    </row>
    <row r="17" spans="1:16" x14ac:dyDescent="0.2">
      <c r="A17" s="24">
        <v>9</v>
      </c>
      <c r="B17" s="24" t="str">
        <f>"OP940"</f>
        <v>OP940</v>
      </c>
      <c r="C17" s="25" t="str">
        <f>"469937"</f>
        <v>469937</v>
      </c>
      <c r="D17" s="25">
        <v>2014</v>
      </c>
      <c r="E17" s="41">
        <v>44865</v>
      </c>
      <c r="F17" s="25"/>
      <c r="G17" s="25"/>
      <c r="H17" s="25"/>
      <c r="I17" s="5"/>
      <c r="J17" s="5"/>
      <c r="K17" s="5"/>
      <c r="L17" s="5"/>
      <c r="M17" s="5"/>
      <c r="N17" s="5"/>
      <c r="O17" s="5"/>
      <c r="P17" s="5"/>
    </row>
    <row r="18" spans="1:16" x14ac:dyDescent="0.2">
      <c r="A18" s="24">
        <v>10</v>
      </c>
      <c r="B18" s="24" t="str">
        <f>"OP940"</f>
        <v>OP940</v>
      </c>
      <c r="C18" s="25" t="str">
        <f>"473754"</f>
        <v>473754</v>
      </c>
      <c r="D18" s="25">
        <v>2014</v>
      </c>
      <c r="E18" s="41">
        <v>44865</v>
      </c>
      <c r="F18" s="25"/>
      <c r="G18" s="25"/>
      <c r="H18" s="25"/>
      <c r="I18" s="5"/>
      <c r="J18" s="5"/>
      <c r="K18" s="5"/>
      <c r="L18" s="5"/>
      <c r="M18" s="5"/>
      <c r="N18" s="5"/>
      <c r="O18" s="5"/>
      <c r="P18" s="5"/>
    </row>
    <row r="19" spans="1:16" x14ac:dyDescent="0.2">
      <c r="A19" s="24">
        <v>11</v>
      </c>
      <c r="B19" s="24" t="str">
        <f>"PV462"</f>
        <v>PV462</v>
      </c>
      <c r="C19" s="25" t="str">
        <f>"3713014"</f>
        <v>3713014</v>
      </c>
      <c r="D19" s="25">
        <v>2014</v>
      </c>
      <c r="E19" s="41">
        <v>44865</v>
      </c>
      <c r="F19" s="25"/>
      <c r="G19" s="25"/>
      <c r="H19" s="25"/>
      <c r="I19" s="5"/>
      <c r="J19" s="5"/>
      <c r="K19" s="5"/>
      <c r="L19" s="5"/>
      <c r="M19" s="5"/>
      <c r="N19" s="5"/>
      <c r="O19" s="5"/>
      <c r="P19" s="5"/>
    </row>
    <row r="20" spans="1:16" x14ac:dyDescent="0.2">
      <c r="A20" s="24">
        <v>12</v>
      </c>
      <c r="B20" s="24" t="str">
        <f>"PV472"</f>
        <v>PV472</v>
      </c>
      <c r="C20" s="25" t="str">
        <f>"475455"</f>
        <v>475455</v>
      </c>
      <c r="D20" s="25">
        <v>2014</v>
      </c>
      <c r="E20" s="41">
        <v>44865</v>
      </c>
      <c r="F20" s="25"/>
      <c r="G20" s="25"/>
      <c r="H20" s="25"/>
      <c r="I20" s="5"/>
      <c r="J20" s="5"/>
      <c r="K20" s="5"/>
      <c r="L20" s="5"/>
      <c r="M20" s="5"/>
      <c r="N20" s="5"/>
      <c r="O20" s="5"/>
      <c r="P20" s="5"/>
    </row>
    <row r="21" spans="1:16" x14ac:dyDescent="0.2">
      <c r="A21" s="24">
        <v>13</v>
      </c>
      <c r="B21" s="24" t="str">
        <f>"PV460"</f>
        <v>PV460</v>
      </c>
      <c r="C21" s="25" t="str">
        <f>"4008706"</f>
        <v>4008706</v>
      </c>
      <c r="D21" s="25">
        <v>2014</v>
      </c>
      <c r="E21" s="41">
        <v>44865</v>
      </c>
      <c r="F21" s="25"/>
      <c r="G21" s="25"/>
      <c r="H21" s="25"/>
      <c r="I21" s="5"/>
      <c r="J21" s="5"/>
      <c r="K21" s="5"/>
      <c r="L21" s="5"/>
      <c r="M21" s="5"/>
      <c r="N21" s="5"/>
      <c r="O21" s="5"/>
      <c r="P21" s="5"/>
    </row>
    <row r="22" spans="1:16" x14ac:dyDescent="0.2">
      <c r="A22" s="24">
        <v>14</v>
      </c>
      <c r="B22" s="24" t="str">
        <f>"PV470"</f>
        <v>PV470</v>
      </c>
      <c r="C22" s="25" t="str">
        <f>"475868"</f>
        <v>475868</v>
      </c>
      <c r="D22" s="25">
        <v>2014</v>
      </c>
      <c r="E22" s="41">
        <v>44865</v>
      </c>
      <c r="F22" s="25"/>
      <c r="G22" s="25"/>
      <c r="H22" s="25"/>
      <c r="I22" s="5"/>
      <c r="J22" s="5"/>
      <c r="K22" s="5"/>
      <c r="L22" s="5"/>
      <c r="M22" s="5"/>
      <c r="N22" s="5"/>
      <c r="O22" s="5"/>
      <c r="P22" s="5"/>
    </row>
    <row r="23" spans="1:16" x14ac:dyDescent="0.2">
      <c r="A23" s="24">
        <v>15</v>
      </c>
      <c r="B23" s="24" t="str">
        <f>"PG145"</f>
        <v>PG145</v>
      </c>
      <c r="C23" s="25" t="str">
        <f>"1403CE688"</f>
        <v>1403CE688</v>
      </c>
      <c r="D23" s="25">
        <v>2014</v>
      </c>
      <c r="E23" s="41">
        <v>44865</v>
      </c>
      <c r="F23" s="25"/>
      <c r="G23" s="25"/>
      <c r="H23" s="25"/>
      <c r="I23" s="5"/>
      <c r="J23" s="5"/>
      <c r="K23" s="5"/>
      <c r="L23" s="5"/>
      <c r="M23" s="5"/>
      <c r="N23" s="5"/>
      <c r="O23" s="5"/>
      <c r="P23" s="5"/>
    </row>
    <row r="24" spans="1:16" x14ac:dyDescent="0.2">
      <c r="A24" s="24">
        <v>16</v>
      </c>
      <c r="B24" s="24" t="str">
        <f>"PG145"</f>
        <v>PG145</v>
      </c>
      <c r="C24" s="25" t="str">
        <f>"1408CE357"</f>
        <v>1408CE357</v>
      </c>
      <c r="D24" s="25">
        <v>2014</v>
      </c>
      <c r="E24" s="41">
        <v>44865</v>
      </c>
      <c r="F24" s="25"/>
      <c r="G24" s="25"/>
      <c r="H24" s="25"/>
      <c r="I24" s="5"/>
      <c r="J24" s="5"/>
      <c r="K24" s="5"/>
      <c r="L24" s="5"/>
      <c r="M24" s="5"/>
      <c r="N24" s="5"/>
      <c r="O24" s="5"/>
      <c r="P24" s="5"/>
    </row>
    <row r="25" spans="1:16" x14ac:dyDescent="0.2">
      <c r="A25" s="24">
        <v>17</v>
      </c>
      <c r="B25" s="24" t="s">
        <v>74</v>
      </c>
      <c r="C25" s="25">
        <v>3337</v>
      </c>
      <c r="D25" s="25">
        <v>2014</v>
      </c>
      <c r="E25" s="41">
        <v>44865</v>
      </c>
      <c r="F25" s="25"/>
      <c r="G25" s="25"/>
      <c r="H25" s="25"/>
      <c r="I25" s="5"/>
      <c r="J25" s="5"/>
      <c r="K25" s="5"/>
      <c r="L25" s="5"/>
      <c r="M25" s="5"/>
      <c r="N25" s="5"/>
      <c r="O25" s="5"/>
      <c r="P25" s="5"/>
    </row>
    <row r="26" spans="1:16" x14ac:dyDescent="0.2">
      <c r="A26" s="24">
        <v>18</v>
      </c>
      <c r="B26" s="24" t="str">
        <f>"PV840"</f>
        <v>PV840</v>
      </c>
      <c r="C26" s="25" t="str">
        <f>"1136"</f>
        <v>1136</v>
      </c>
      <c r="D26" s="25">
        <v>2014</v>
      </c>
      <c r="E26" s="41">
        <v>44865</v>
      </c>
      <c r="F26" s="25"/>
      <c r="G26" s="25"/>
      <c r="H26" s="25"/>
      <c r="I26" s="5"/>
      <c r="J26" s="5"/>
      <c r="K26" s="5"/>
      <c r="L26" s="5"/>
      <c r="M26" s="5"/>
      <c r="N26" s="5"/>
      <c r="O26" s="5"/>
      <c r="P26" s="5"/>
    </row>
    <row r="27" spans="1:16" ht="109.5" customHeight="1" x14ac:dyDescent="0.2">
      <c r="A27" s="27"/>
      <c r="B27" s="167" t="s">
        <v>445</v>
      </c>
      <c r="C27" s="168"/>
      <c r="D27" s="168"/>
      <c r="E27" s="168"/>
      <c r="F27" s="169"/>
      <c r="G27" s="25" t="s">
        <v>338</v>
      </c>
      <c r="H27" s="28"/>
      <c r="I27" s="5"/>
      <c r="J27" s="5"/>
      <c r="K27" s="5"/>
      <c r="L27" s="5"/>
      <c r="M27" s="5"/>
      <c r="N27" s="5"/>
      <c r="O27" s="5"/>
      <c r="P27" s="5"/>
    </row>
    <row r="28" spans="1:16" ht="55.5" customHeight="1" x14ac:dyDescent="0.2">
      <c r="A28" s="27"/>
      <c r="B28" s="162" t="s">
        <v>402</v>
      </c>
      <c r="C28" s="162"/>
      <c r="D28" s="162"/>
      <c r="E28" s="162"/>
      <c r="F28" s="162"/>
      <c r="G28" s="25" t="s">
        <v>338</v>
      </c>
      <c r="H28" s="28"/>
      <c r="I28" s="5"/>
      <c r="J28" s="5"/>
      <c r="K28" s="5"/>
      <c r="L28" s="5"/>
      <c r="M28" s="5"/>
      <c r="N28" s="5"/>
      <c r="O28" s="5"/>
      <c r="P28" s="5"/>
    </row>
    <row r="29" spans="1:16" x14ac:dyDescent="0.2">
      <c r="B29" s="3"/>
      <c r="C29" s="26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1:16" x14ac:dyDescent="0.2">
      <c r="A30" s="150" t="s">
        <v>192</v>
      </c>
      <c r="B30" s="151"/>
      <c r="C30" s="152"/>
      <c r="D30" s="153"/>
      <c r="E30" s="154"/>
      <c r="F30" s="155" t="s">
        <v>178</v>
      </c>
      <c r="G30" s="156"/>
      <c r="H30" s="157"/>
      <c r="I30" s="152"/>
      <c r="J30" s="153"/>
      <c r="K30" s="158"/>
    </row>
    <row r="31" spans="1:16" x14ac:dyDescent="0.2">
      <c r="A31" s="7"/>
      <c r="B31" s="10"/>
    </row>
    <row r="32" spans="1:16" x14ac:dyDescent="0.2">
      <c r="A32" s="6"/>
      <c r="B32" s="10"/>
      <c r="C32" s="15"/>
      <c r="D32" s="10"/>
      <c r="E32" s="10"/>
      <c r="F32" s="10"/>
      <c r="G32" s="10"/>
      <c r="H32" s="10"/>
      <c r="I32" s="10"/>
      <c r="J32" s="10"/>
      <c r="K32" s="10"/>
    </row>
    <row r="33" spans="1:12" x14ac:dyDescent="0.2">
      <c r="A33" s="7"/>
      <c r="B33" s="7"/>
      <c r="C33" s="16"/>
    </row>
    <row r="34" spans="1:12" x14ac:dyDescent="0.2">
      <c r="K34" s="4"/>
      <c r="L34" s="4"/>
    </row>
    <row r="35" spans="1:12" x14ac:dyDescent="0.2">
      <c r="K35" s="4"/>
      <c r="L35" s="4"/>
    </row>
    <row r="36" spans="1:12" x14ac:dyDescent="0.2">
      <c r="I36" s="10"/>
      <c r="J36" s="10"/>
      <c r="K36" s="23"/>
      <c r="L36" s="14"/>
    </row>
    <row r="37" spans="1:12" x14ac:dyDescent="0.2">
      <c r="I37" s="14"/>
      <c r="J37" s="14"/>
      <c r="K37" s="14"/>
    </row>
  </sheetData>
  <customSheetViews>
    <customSheetView guid="{D0B43696-C677-428B-89B5-FA762F48CCFE}" showPageBreaks="1" printArea="1" view="pageBreakPreview">
      <selection activeCell="E9" sqref="E9:E26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5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E9" sqref="E9:E26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5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30:B30"/>
    <mergeCell ref="C30:E30"/>
    <mergeCell ref="F30:H30"/>
    <mergeCell ref="I30:K30"/>
    <mergeCell ref="B27:F27"/>
    <mergeCell ref="B28:F28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75" orientation="landscape" horizontalDpi="300" verticalDpi="300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Arkusz18"/>
  <dimension ref="A2:P26"/>
  <sheetViews>
    <sheetView view="pageBreakPreview" topLeftCell="A7" zoomScaleNormal="100" zoomScaleSheetLayoutView="100" workbookViewId="0">
      <selection activeCell="C19" sqref="C19:E19"/>
    </sheetView>
  </sheetViews>
  <sheetFormatPr defaultRowHeight="12.75" x14ac:dyDescent="0.2"/>
  <cols>
    <col min="1" max="1" width="3.5703125" customWidth="1"/>
    <col min="2" max="2" width="36" customWidth="1"/>
    <col min="3" max="3" width="10.5703125" customWidth="1"/>
    <col min="4" max="4" width="10.85546875" customWidth="1"/>
    <col min="5" max="5" width="11.85546875" customWidth="1"/>
    <col min="6" max="6" width="10.5703125" customWidth="1"/>
    <col min="7" max="7" width="13.42578125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</v>
      </c>
      <c r="C2" s="21">
        <v>17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43" t="s">
        <v>176</v>
      </c>
      <c r="B4" s="144"/>
      <c r="C4" s="147" t="s">
        <v>503</v>
      </c>
      <c r="D4" s="148"/>
      <c r="E4" s="148"/>
      <c r="F4" s="148"/>
      <c r="G4" s="148"/>
      <c r="H4" s="148"/>
      <c r="I4" s="148"/>
      <c r="J4" s="148"/>
      <c r="K4" s="149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25.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24">
        <v>1</v>
      </c>
      <c r="B9" s="24" t="s">
        <v>343</v>
      </c>
      <c r="C9" s="25">
        <v>38905</v>
      </c>
      <c r="D9" s="25">
        <v>2007</v>
      </c>
      <c r="E9" s="41">
        <v>44806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">
      <c r="A10" s="24">
        <v>2</v>
      </c>
      <c r="B10" s="24" t="s">
        <v>342</v>
      </c>
      <c r="C10" s="25">
        <v>37098</v>
      </c>
      <c r="D10" s="25">
        <v>2006</v>
      </c>
      <c r="E10" s="41">
        <v>44806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x14ac:dyDescent="0.2">
      <c r="A11" s="24">
        <v>3</v>
      </c>
      <c r="B11" s="24" t="s">
        <v>343</v>
      </c>
      <c r="C11" s="25">
        <v>28961</v>
      </c>
      <c r="D11" s="25">
        <v>2004</v>
      </c>
      <c r="E11" s="41">
        <v>44806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x14ac:dyDescent="0.2">
      <c r="A12" s="24">
        <v>4</v>
      </c>
      <c r="B12" s="24" t="s">
        <v>378</v>
      </c>
      <c r="C12" s="25">
        <v>40451</v>
      </c>
      <c r="D12" s="25">
        <v>2008</v>
      </c>
      <c r="E12" s="41">
        <v>44806</v>
      </c>
      <c r="F12" s="25"/>
      <c r="G12" s="25"/>
      <c r="H12" s="25"/>
      <c r="I12" s="5"/>
      <c r="J12" s="5"/>
      <c r="K12" s="5"/>
      <c r="L12" s="5"/>
      <c r="M12" s="5"/>
      <c r="N12" s="5"/>
      <c r="O12" s="5"/>
      <c r="P12" s="5"/>
    </row>
    <row r="13" spans="1:16" x14ac:dyDescent="0.2">
      <c r="A13" s="24">
        <v>5</v>
      </c>
      <c r="B13" s="24" t="s">
        <v>378</v>
      </c>
      <c r="C13" s="25">
        <v>39450</v>
      </c>
      <c r="D13" s="25">
        <v>2007</v>
      </c>
      <c r="E13" s="41">
        <v>44806</v>
      </c>
      <c r="F13" s="25"/>
      <c r="G13" s="25"/>
      <c r="H13" s="25"/>
      <c r="I13" s="5"/>
      <c r="J13" s="5"/>
      <c r="K13" s="5"/>
      <c r="L13" s="5"/>
      <c r="M13" s="5"/>
      <c r="N13" s="5"/>
      <c r="O13" s="5"/>
      <c r="P13" s="5"/>
    </row>
    <row r="14" spans="1:16" x14ac:dyDescent="0.2">
      <c r="A14" s="24">
        <v>6</v>
      </c>
      <c r="B14" s="24" t="s">
        <v>378</v>
      </c>
      <c r="C14" s="25">
        <v>58439</v>
      </c>
      <c r="D14" s="25">
        <v>2013</v>
      </c>
      <c r="E14" s="41">
        <v>44806</v>
      </c>
      <c r="F14" s="25"/>
      <c r="G14" s="25"/>
      <c r="H14" s="25"/>
      <c r="I14" s="5"/>
      <c r="J14" s="5"/>
      <c r="K14" s="5"/>
      <c r="L14" s="5"/>
      <c r="M14" s="5"/>
      <c r="N14" s="5"/>
      <c r="O14" s="5"/>
      <c r="P14" s="5"/>
    </row>
    <row r="15" spans="1:16" ht="105" customHeight="1" x14ac:dyDescent="0.2">
      <c r="A15" s="27"/>
      <c r="B15" s="162" t="s">
        <v>395</v>
      </c>
      <c r="C15" s="162"/>
      <c r="D15" s="162"/>
      <c r="E15" s="162"/>
      <c r="F15" s="162"/>
      <c r="G15" s="25" t="s">
        <v>338</v>
      </c>
      <c r="H15" s="28"/>
      <c r="I15" s="5"/>
      <c r="J15" s="5"/>
      <c r="K15" s="5"/>
      <c r="L15" s="5"/>
      <c r="M15" s="5"/>
      <c r="N15" s="5"/>
      <c r="O15" s="5"/>
      <c r="P15" s="5"/>
    </row>
    <row r="16" spans="1:16" ht="56.25" customHeight="1" x14ac:dyDescent="0.2">
      <c r="A16" s="27"/>
      <c r="B16" s="162" t="s">
        <v>402</v>
      </c>
      <c r="C16" s="162"/>
      <c r="D16" s="162"/>
      <c r="E16" s="162"/>
      <c r="F16" s="162"/>
      <c r="G16" s="25" t="s">
        <v>338</v>
      </c>
      <c r="H16" s="28"/>
      <c r="I16" s="5"/>
      <c r="J16" s="5"/>
      <c r="K16" s="5"/>
      <c r="L16" s="5"/>
      <c r="M16" s="5"/>
      <c r="N16" s="5"/>
      <c r="O16" s="5"/>
      <c r="P16" s="5"/>
    </row>
    <row r="17" spans="1:16" x14ac:dyDescent="0.2">
      <c r="B17" s="3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x14ac:dyDescent="0.2">
      <c r="B18" s="3"/>
      <c r="C18" s="26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1:16" x14ac:dyDescent="0.2">
      <c r="A19" s="150" t="s">
        <v>192</v>
      </c>
      <c r="B19" s="151"/>
      <c r="C19" s="152"/>
      <c r="D19" s="153"/>
      <c r="E19" s="154"/>
      <c r="F19" s="155" t="s">
        <v>178</v>
      </c>
      <c r="G19" s="156"/>
      <c r="H19" s="157"/>
      <c r="I19" s="152"/>
      <c r="J19" s="153"/>
      <c r="K19" s="158"/>
    </row>
    <row r="20" spans="1:16" x14ac:dyDescent="0.2">
      <c r="A20" s="7"/>
      <c r="B20" s="10"/>
    </row>
    <row r="21" spans="1:16" x14ac:dyDescent="0.2">
      <c r="A21" s="6"/>
      <c r="B21" s="10"/>
      <c r="C21" s="15"/>
      <c r="D21" s="10"/>
      <c r="E21" s="10"/>
      <c r="F21" s="10"/>
      <c r="G21" s="10"/>
      <c r="H21" s="10"/>
      <c r="I21" s="10"/>
      <c r="J21" s="10"/>
      <c r="K21" s="10"/>
    </row>
    <row r="22" spans="1:16" x14ac:dyDescent="0.2">
      <c r="A22" s="7"/>
      <c r="B22" s="7"/>
      <c r="C22" s="16"/>
    </row>
    <row r="23" spans="1:16" x14ac:dyDescent="0.2">
      <c r="K23" s="4"/>
      <c r="L23" s="4"/>
    </row>
    <row r="24" spans="1:16" x14ac:dyDescent="0.2">
      <c r="K24" s="4"/>
      <c r="L24" s="4"/>
    </row>
    <row r="25" spans="1:16" x14ac:dyDescent="0.2">
      <c r="I25" s="10"/>
      <c r="J25" s="10"/>
      <c r="K25" s="23"/>
      <c r="L25" s="14"/>
    </row>
    <row r="26" spans="1:16" x14ac:dyDescent="0.2">
      <c r="I26" s="14"/>
      <c r="J26" s="14"/>
      <c r="K26" s="14"/>
    </row>
  </sheetData>
  <customSheetViews>
    <customSheetView guid="{D0B43696-C677-428B-89B5-FA762F48CCFE}" showPageBreaks="1" printArea="1" view="pageBreakPreview">
      <selection activeCell="A10" sqref="A10:A1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A10" sqref="A10:A1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9:B19"/>
    <mergeCell ref="C19:E19"/>
    <mergeCell ref="F19:H19"/>
    <mergeCell ref="I19:K19"/>
    <mergeCell ref="A4:B4"/>
    <mergeCell ref="C4:K4"/>
    <mergeCell ref="B6:L6"/>
    <mergeCell ref="B15:F15"/>
    <mergeCell ref="B16:F16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77" orientation="landscape" r:id="rId3"/>
  <headerFooter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Arkusz19"/>
  <dimension ref="A2:L36"/>
  <sheetViews>
    <sheetView view="pageBreakPreview" topLeftCell="A22" zoomScaleNormal="100" zoomScaleSheetLayoutView="100" workbookViewId="0">
      <selection activeCell="C33" sqref="C33:E33"/>
    </sheetView>
  </sheetViews>
  <sheetFormatPr defaultRowHeight="12.75" x14ac:dyDescent="0.2"/>
  <cols>
    <col min="1" max="1" width="3.5703125" customWidth="1"/>
    <col min="2" max="2" width="36" customWidth="1"/>
    <col min="3" max="3" width="10" bestFit="1" customWidth="1"/>
    <col min="4" max="4" width="10.85546875" customWidth="1"/>
    <col min="5" max="5" width="11.85546875" customWidth="1"/>
    <col min="6" max="6" width="10.5703125" customWidth="1"/>
    <col min="7" max="7" width="13.42578125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</v>
      </c>
      <c r="C2" s="21">
        <v>18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ht="37.5" customHeight="1" x14ac:dyDescent="0.2">
      <c r="A4" s="143" t="s">
        <v>176</v>
      </c>
      <c r="B4" s="144"/>
      <c r="C4" s="147" t="s">
        <v>504</v>
      </c>
      <c r="D4" s="148"/>
      <c r="E4" s="148"/>
      <c r="F4" s="148"/>
      <c r="G4" s="148"/>
      <c r="H4" s="148"/>
      <c r="I4" s="148"/>
      <c r="J4" s="148"/>
      <c r="K4" s="149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5.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ht="25.5" x14ac:dyDescent="0.2">
      <c r="A9" s="24">
        <v>1</v>
      </c>
      <c r="B9" s="24" t="s">
        <v>505</v>
      </c>
      <c r="C9" s="25" t="s">
        <v>403</v>
      </c>
      <c r="D9" s="25">
        <v>2006</v>
      </c>
      <c r="E9" s="41">
        <v>44895</v>
      </c>
      <c r="F9" s="25"/>
      <c r="G9" s="25"/>
      <c r="H9" s="25"/>
      <c r="I9" s="5"/>
      <c r="J9" s="5"/>
      <c r="K9" s="5"/>
      <c r="L9" s="5"/>
    </row>
    <row r="10" spans="1:12" ht="25.5" x14ac:dyDescent="0.2">
      <c r="A10" s="24">
        <v>2</v>
      </c>
      <c r="B10" s="24" t="s">
        <v>505</v>
      </c>
      <c r="C10" s="25" t="s">
        <v>404</v>
      </c>
      <c r="D10" s="25">
        <v>2006</v>
      </c>
      <c r="E10" s="41">
        <v>44895</v>
      </c>
      <c r="F10" s="25"/>
      <c r="G10" s="25"/>
      <c r="H10" s="25"/>
      <c r="I10" s="5"/>
      <c r="J10" s="5"/>
      <c r="K10" s="5"/>
      <c r="L10" s="5"/>
    </row>
    <row r="11" spans="1:12" ht="25.5" x14ac:dyDescent="0.2">
      <c r="A11" s="24">
        <v>3</v>
      </c>
      <c r="B11" s="24" t="s">
        <v>505</v>
      </c>
      <c r="C11" s="25" t="s">
        <v>405</v>
      </c>
      <c r="D11" s="25">
        <v>2006</v>
      </c>
      <c r="E11" s="41">
        <v>44895</v>
      </c>
      <c r="F11" s="25"/>
      <c r="G11" s="25"/>
      <c r="H11" s="25"/>
      <c r="I11" s="5"/>
      <c r="J11" s="5"/>
      <c r="K11" s="5"/>
      <c r="L11" s="5"/>
    </row>
    <row r="12" spans="1:12" ht="25.5" x14ac:dyDescent="0.2">
      <c r="A12" s="24">
        <v>4</v>
      </c>
      <c r="B12" s="30" t="s">
        <v>506</v>
      </c>
      <c r="C12" s="25" t="s">
        <v>456</v>
      </c>
      <c r="D12" s="25">
        <v>2013</v>
      </c>
      <c r="E12" s="41">
        <v>44895</v>
      </c>
      <c r="F12" s="25"/>
      <c r="G12" s="25"/>
      <c r="H12" s="25"/>
      <c r="I12" s="5"/>
      <c r="J12" s="5"/>
      <c r="K12" s="5"/>
      <c r="L12" s="5"/>
    </row>
    <row r="13" spans="1:12" ht="25.5" x14ac:dyDescent="0.2">
      <c r="A13" s="24">
        <v>5</v>
      </c>
      <c r="B13" s="24" t="s">
        <v>507</v>
      </c>
      <c r="C13" s="25" t="s">
        <v>457</v>
      </c>
      <c r="D13" s="25">
        <v>2013</v>
      </c>
      <c r="E13" s="41">
        <v>44895</v>
      </c>
      <c r="F13" s="25"/>
      <c r="G13" s="25"/>
      <c r="H13" s="25"/>
      <c r="I13" s="5"/>
      <c r="J13" s="5"/>
      <c r="K13" s="5"/>
      <c r="L13" s="5"/>
    </row>
    <row r="14" spans="1:12" ht="25.5" x14ac:dyDescent="0.2">
      <c r="A14" s="24">
        <v>6</v>
      </c>
      <c r="B14" s="24" t="s">
        <v>507</v>
      </c>
      <c r="C14" s="25" t="s">
        <v>458</v>
      </c>
      <c r="D14" s="25">
        <v>2013</v>
      </c>
      <c r="E14" s="41">
        <v>44895</v>
      </c>
      <c r="F14" s="25"/>
      <c r="G14" s="25"/>
      <c r="H14" s="25"/>
      <c r="I14" s="5"/>
      <c r="J14" s="5"/>
      <c r="K14" s="5"/>
      <c r="L14" s="5"/>
    </row>
    <row r="15" spans="1:12" ht="25.5" x14ac:dyDescent="0.2">
      <c r="A15" s="24">
        <v>7</v>
      </c>
      <c r="B15" s="24" t="s">
        <v>507</v>
      </c>
      <c r="C15" s="25" t="s">
        <v>459</v>
      </c>
      <c r="D15" s="25">
        <v>2013</v>
      </c>
      <c r="E15" s="41">
        <v>44895</v>
      </c>
      <c r="F15" s="25"/>
      <c r="G15" s="25"/>
      <c r="H15" s="25"/>
      <c r="I15" s="5"/>
      <c r="J15" s="5"/>
      <c r="K15" s="5"/>
      <c r="L15" s="5"/>
    </row>
    <row r="16" spans="1:12" ht="25.5" x14ac:dyDescent="0.2">
      <c r="A16" s="24">
        <v>8</v>
      </c>
      <c r="B16" s="24" t="s">
        <v>507</v>
      </c>
      <c r="C16" s="25" t="s">
        <v>460</v>
      </c>
      <c r="D16" s="25">
        <v>2013</v>
      </c>
      <c r="E16" s="41">
        <v>44895</v>
      </c>
      <c r="F16" s="25"/>
      <c r="G16" s="25"/>
      <c r="H16" s="25"/>
      <c r="I16" s="5"/>
      <c r="J16" s="5"/>
      <c r="K16" s="5"/>
      <c r="L16" s="5"/>
    </row>
    <row r="17" spans="1:12" ht="25.5" x14ac:dyDescent="0.2">
      <c r="A17" s="24">
        <v>9</v>
      </c>
      <c r="B17" s="24" t="s">
        <v>507</v>
      </c>
      <c r="C17" s="25" t="s">
        <v>461</v>
      </c>
      <c r="D17" s="25">
        <v>2013</v>
      </c>
      <c r="E17" s="41">
        <v>44895</v>
      </c>
      <c r="F17" s="25"/>
      <c r="G17" s="25"/>
      <c r="H17" s="25"/>
      <c r="I17" s="5"/>
      <c r="J17" s="5"/>
      <c r="K17" s="5"/>
      <c r="L17" s="5"/>
    </row>
    <row r="18" spans="1:12" ht="25.5" x14ac:dyDescent="0.2">
      <c r="A18" s="24">
        <v>10</v>
      </c>
      <c r="B18" s="24" t="s">
        <v>507</v>
      </c>
      <c r="C18" s="25" t="s">
        <v>462</v>
      </c>
      <c r="D18" s="25">
        <v>2013</v>
      </c>
      <c r="E18" s="41">
        <v>44895</v>
      </c>
      <c r="F18" s="25"/>
      <c r="G18" s="25"/>
      <c r="H18" s="25"/>
      <c r="I18" s="5"/>
      <c r="J18" s="5"/>
      <c r="K18" s="5"/>
      <c r="L18" s="5"/>
    </row>
    <row r="19" spans="1:12" ht="25.5" x14ac:dyDescent="0.2">
      <c r="A19" s="24">
        <v>11</v>
      </c>
      <c r="B19" s="24" t="s">
        <v>507</v>
      </c>
      <c r="C19" s="25" t="s">
        <v>463</v>
      </c>
      <c r="D19" s="25">
        <v>2013</v>
      </c>
      <c r="E19" s="41">
        <v>44895</v>
      </c>
      <c r="F19" s="25"/>
      <c r="G19" s="25"/>
      <c r="H19" s="25"/>
      <c r="I19" s="5"/>
      <c r="J19" s="5"/>
      <c r="K19" s="5"/>
      <c r="L19" s="5"/>
    </row>
    <row r="20" spans="1:12" ht="25.5" x14ac:dyDescent="0.2">
      <c r="A20" s="24">
        <v>12</v>
      </c>
      <c r="B20" s="24" t="s">
        <v>507</v>
      </c>
      <c r="C20" s="25" t="s">
        <v>464</v>
      </c>
      <c r="D20" s="25">
        <v>2013</v>
      </c>
      <c r="E20" s="41">
        <v>44895</v>
      </c>
      <c r="F20" s="25"/>
      <c r="G20" s="25"/>
      <c r="H20" s="25"/>
      <c r="I20" s="5"/>
      <c r="J20" s="5"/>
      <c r="K20" s="5"/>
      <c r="L20" s="5"/>
    </row>
    <row r="21" spans="1:12" ht="25.5" x14ac:dyDescent="0.2">
      <c r="A21" s="24">
        <v>13</v>
      </c>
      <c r="B21" s="24" t="s">
        <v>507</v>
      </c>
      <c r="C21" s="25" t="s">
        <v>465</v>
      </c>
      <c r="D21" s="25">
        <v>2013</v>
      </c>
      <c r="E21" s="41">
        <v>44895</v>
      </c>
      <c r="F21" s="25"/>
      <c r="G21" s="25"/>
      <c r="H21" s="25"/>
      <c r="I21" s="5"/>
      <c r="J21" s="5"/>
      <c r="K21" s="5"/>
      <c r="L21" s="5"/>
    </row>
    <row r="22" spans="1:12" ht="25.5" x14ac:dyDescent="0.2">
      <c r="A22" s="24">
        <v>14</v>
      </c>
      <c r="B22" s="24" t="s">
        <v>507</v>
      </c>
      <c r="C22" s="25" t="s">
        <v>466</v>
      </c>
      <c r="D22" s="25">
        <v>2013</v>
      </c>
      <c r="E22" s="41">
        <v>44895</v>
      </c>
      <c r="F22" s="25"/>
      <c r="G22" s="25"/>
      <c r="H22" s="25"/>
      <c r="I22" s="5"/>
      <c r="J22" s="5"/>
      <c r="K22" s="5"/>
      <c r="L22" s="5"/>
    </row>
    <row r="23" spans="1:12" ht="25.5" x14ac:dyDescent="0.2">
      <c r="A23" s="24">
        <v>15</v>
      </c>
      <c r="B23" s="24" t="s">
        <v>507</v>
      </c>
      <c r="C23" s="25" t="s">
        <v>467</v>
      </c>
      <c r="D23" s="25">
        <v>2014</v>
      </c>
      <c r="E23" s="41">
        <v>44895</v>
      </c>
      <c r="F23" s="25"/>
      <c r="G23" s="25"/>
      <c r="H23" s="25"/>
      <c r="I23" s="5"/>
      <c r="J23" s="5"/>
      <c r="K23" s="5"/>
      <c r="L23" s="5"/>
    </row>
    <row r="24" spans="1:12" ht="25.5" x14ac:dyDescent="0.2">
      <c r="A24" s="24">
        <v>16</v>
      </c>
      <c r="B24" s="30" t="s">
        <v>468</v>
      </c>
      <c r="C24" s="25" t="s">
        <v>469</v>
      </c>
      <c r="D24" s="25">
        <v>2014</v>
      </c>
      <c r="E24" s="41">
        <v>44895</v>
      </c>
      <c r="F24" s="25"/>
      <c r="G24" s="25"/>
      <c r="H24" s="25"/>
      <c r="I24" s="5"/>
      <c r="J24" s="5"/>
      <c r="K24" s="5"/>
      <c r="L24" s="5"/>
    </row>
    <row r="25" spans="1:12" ht="25.5" x14ac:dyDescent="0.2">
      <c r="A25" s="24">
        <v>17</v>
      </c>
      <c r="B25" s="30" t="s">
        <v>468</v>
      </c>
      <c r="C25" s="25" t="s">
        <v>470</v>
      </c>
      <c r="D25" s="25">
        <v>2014</v>
      </c>
      <c r="E25" s="41">
        <v>44895</v>
      </c>
      <c r="F25" s="25"/>
      <c r="G25" s="25"/>
      <c r="H25" s="25"/>
      <c r="I25" s="5"/>
      <c r="J25" s="5"/>
      <c r="K25" s="5"/>
      <c r="L25" s="5"/>
    </row>
    <row r="26" spans="1:12" ht="25.5" x14ac:dyDescent="0.2">
      <c r="A26" s="24">
        <v>18</v>
      </c>
      <c r="B26" s="30" t="s">
        <v>468</v>
      </c>
      <c r="C26" s="25" t="s">
        <v>471</v>
      </c>
      <c r="D26" s="25">
        <v>2014</v>
      </c>
      <c r="E26" s="41">
        <v>44895</v>
      </c>
      <c r="F26" s="25"/>
      <c r="G26" s="25"/>
      <c r="H26" s="25"/>
      <c r="I26" s="5"/>
      <c r="J26" s="5"/>
      <c r="K26" s="5"/>
      <c r="L26" s="5"/>
    </row>
    <row r="27" spans="1:12" ht="25.5" x14ac:dyDescent="0.2">
      <c r="A27" s="24">
        <v>19</v>
      </c>
      <c r="B27" s="24" t="s">
        <v>508</v>
      </c>
      <c r="C27" s="25" t="s">
        <v>472</v>
      </c>
      <c r="D27" s="25">
        <v>2014</v>
      </c>
      <c r="E27" s="41">
        <v>44895</v>
      </c>
      <c r="F27" s="25"/>
      <c r="G27" s="25"/>
      <c r="H27" s="25"/>
      <c r="I27" s="5"/>
      <c r="J27" s="5"/>
      <c r="K27" s="5"/>
      <c r="L27" s="5"/>
    </row>
    <row r="28" spans="1:12" ht="25.5" x14ac:dyDescent="0.2">
      <c r="A28" s="24">
        <v>20</v>
      </c>
      <c r="B28" s="24" t="s">
        <v>508</v>
      </c>
      <c r="C28" s="25" t="s">
        <v>473</v>
      </c>
      <c r="D28" s="25">
        <v>2014</v>
      </c>
      <c r="E28" s="41">
        <v>44895</v>
      </c>
      <c r="F28" s="25"/>
      <c r="G28" s="25"/>
      <c r="H28" s="25"/>
      <c r="I28" s="5"/>
      <c r="J28" s="5"/>
      <c r="K28" s="5"/>
      <c r="L28" s="5"/>
    </row>
    <row r="29" spans="1:12" ht="109.5" customHeight="1" x14ac:dyDescent="0.2">
      <c r="A29" s="27"/>
      <c r="B29" s="170" t="s">
        <v>445</v>
      </c>
      <c r="C29" s="171"/>
      <c r="D29" s="171"/>
      <c r="E29" s="171"/>
      <c r="F29" s="172"/>
      <c r="G29" s="25" t="s">
        <v>338</v>
      </c>
      <c r="H29" s="28"/>
      <c r="I29" s="5"/>
      <c r="J29" s="5"/>
      <c r="K29" s="5"/>
      <c r="L29" s="5"/>
    </row>
    <row r="30" spans="1:12" ht="54.75" customHeight="1" x14ac:dyDescent="0.2">
      <c r="A30" s="27"/>
      <c r="B30" s="162" t="s">
        <v>402</v>
      </c>
      <c r="C30" s="162"/>
      <c r="D30" s="162"/>
      <c r="E30" s="162"/>
      <c r="F30" s="162"/>
      <c r="G30" s="25" t="s">
        <v>338</v>
      </c>
      <c r="H30" s="28"/>
      <c r="I30" s="5"/>
      <c r="J30" s="5"/>
      <c r="K30" s="5"/>
      <c r="L30" s="5"/>
    </row>
    <row r="31" spans="1:12" x14ac:dyDescent="0.2">
      <c r="A31" s="27"/>
      <c r="B31" s="27"/>
      <c r="C31" s="28"/>
      <c r="D31" s="28"/>
      <c r="E31" s="28"/>
      <c r="F31" s="28"/>
      <c r="G31" s="28"/>
      <c r="H31" s="28"/>
      <c r="I31" s="5"/>
      <c r="J31" s="5"/>
      <c r="K31" s="5"/>
      <c r="L31" s="5"/>
    </row>
    <row r="32" spans="1:12" x14ac:dyDescent="0.2">
      <c r="B32" s="3"/>
      <c r="C32" s="26"/>
      <c r="D32" s="5"/>
      <c r="E32" s="5"/>
      <c r="F32" s="5"/>
      <c r="G32" s="5"/>
      <c r="H32" s="5"/>
      <c r="I32" s="5"/>
      <c r="J32" s="5"/>
      <c r="K32" s="5"/>
      <c r="L32" s="5"/>
    </row>
    <row r="33" spans="1:11" x14ac:dyDescent="0.2">
      <c r="A33" s="150" t="s">
        <v>192</v>
      </c>
      <c r="B33" s="151"/>
      <c r="C33" s="152"/>
      <c r="D33" s="153"/>
      <c r="E33" s="154"/>
      <c r="F33" s="155" t="s">
        <v>178</v>
      </c>
      <c r="G33" s="156"/>
      <c r="H33" s="157"/>
      <c r="I33" s="152"/>
      <c r="J33" s="153"/>
      <c r="K33" s="158"/>
    </row>
    <row r="34" spans="1:11" x14ac:dyDescent="0.2">
      <c r="A34" s="7"/>
      <c r="B34" s="10"/>
    </row>
    <row r="35" spans="1:11" x14ac:dyDescent="0.2">
      <c r="A35" s="6"/>
      <c r="B35" s="10"/>
      <c r="C35" s="15"/>
      <c r="D35" s="10"/>
      <c r="E35" s="10"/>
      <c r="F35" s="10"/>
      <c r="G35" s="10"/>
      <c r="H35" s="10"/>
      <c r="I35" s="10"/>
      <c r="J35" s="10"/>
      <c r="K35" s="10"/>
    </row>
    <row r="36" spans="1:11" x14ac:dyDescent="0.2">
      <c r="A36" s="7"/>
      <c r="B36" s="7"/>
      <c r="C36" s="16"/>
    </row>
  </sheetData>
  <customSheetViews>
    <customSheetView guid="{D0B43696-C677-428B-89B5-FA762F48CCFE}" showPageBreaks="1" printArea="1" view="pageBreakPreview" topLeftCell="A13">
      <selection activeCell="E9" sqref="E9:E28"/>
      <pageMargins left="0.78740157480314965" right="0.78740157480314965" top="0.98425196850393704" bottom="0.98425196850393704" header="0.51181102362204722" footer="0.51181102362204722"/>
      <pageSetup paperSize="9" scale="82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 topLeftCell="A13">
      <selection activeCell="E9" sqref="E9:E28"/>
      <pageMargins left="0.78740157480314965" right="0.78740157480314965" top="0.98425196850393704" bottom="0.98425196850393704" header="0.51181102362204722" footer="0.51181102362204722"/>
      <pageSetup paperSize="9" scale="82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33:B33"/>
    <mergeCell ref="C33:E33"/>
    <mergeCell ref="F33:H33"/>
    <mergeCell ref="I33:K33"/>
    <mergeCell ref="A4:B4"/>
    <mergeCell ref="C4:K4"/>
    <mergeCell ref="B6:L6"/>
    <mergeCell ref="B29:F29"/>
    <mergeCell ref="B30:F30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78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  <rowBreaks count="1" manualBreakCount="1">
    <brk id="1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Arkusz20"/>
  <dimension ref="A2:L31"/>
  <sheetViews>
    <sheetView view="pageBreakPreview" topLeftCell="A19" zoomScaleNormal="100" workbookViewId="0">
      <selection activeCell="C31" sqref="C31:E31"/>
    </sheetView>
  </sheetViews>
  <sheetFormatPr defaultRowHeight="12.75" x14ac:dyDescent="0.2"/>
  <cols>
    <col min="1" max="1" width="3.5703125" customWidth="1"/>
    <col min="2" max="2" width="37.5703125" bestFit="1" customWidth="1"/>
    <col min="3" max="3" width="11.5703125" customWidth="1"/>
    <col min="4" max="4" width="10.85546875" customWidth="1"/>
    <col min="5" max="5" width="11.85546875" customWidth="1"/>
    <col min="6" max="6" width="10.5703125" customWidth="1"/>
    <col min="7" max="7" width="13.42578125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</v>
      </c>
      <c r="C2" s="21">
        <v>19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ht="37.5" customHeight="1" x14ac:dyDescent="0.2">
      <c r="A4" s="143" t="s">
        <v>176</v>
      </c>
      <c r="B4" s="144"/>
      <c r="C4" s="147" t="s">
        <v>388</v>
      </c>
      <c r="D4" s="148"/>
      <c r="E4" s="148"/>
      <c r="F4" s="148"/>
      <c r="G4" s="148"/>
      <c r="H4" s="148"/>
      <c r="I4" s="148"/>
      <c r="J4" s="148"/>
      <c r="K4" s="149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5.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">
      <c r="A9" s="24">
        <v>1</v>
      </c>
      <c r="B9" s="24" t="s">
        <v>481</v>
      </c>
      <c r="C9" s="25">
        <v>4009598</v>
      </c>
      <c r="D9" s="25">
        <v>2010</v>
      </c>
      <c r="E9" s="41">
        <v>44783</v>
      </c>
      <c r="F9" s="25"/>
      <c r="G9" s="25"/>
      <c r="H9" s="25"/>
      <c r="I9" s="5"/>
      <c r="J9" s="5"/>
      <c r="K9" s="5"/>
      <c r="L9" s="5"/>
    </row>
    <row r="10" spans="1:12" x14ac:dyDescent="0.2">
      <c r="A10" s="24">
        <v>2</v>
      </c>
      <c r="B10" s="24" t="s">
        <v>481</v>
      </c>
      <c r="C10" s="25">
        <v>4056940</v>
      </c>
      <c r="D10" s="25">
        <v>2014</v>
      </c>
      <c r="E10" s="41">
        <v>44783</v>
      </c>
      <c r="F10" s="25"/>
      <c r="G10" s="25"/>
      <c r="H10" s="25"/>
      <c r="I10" s="5"/>
      <c r="J10" s="5"/>
      <c r="K10" s="5"/>
      <c r="L10" s="5"/>
    </row>
    <row r="11" spans="1:12" x14ac:dyDescent="0.2">
      <c r="A11" s="24">
        <v>3</v>
      </c>
      <c r="B11" s="24" t="s">
        <v>481</v>
      </c>
      <c r="C11" s="25">
        <v>4052013</v>
      </c>
      <c r="D11" s="25">
        <v>2014</v>
      </c>
      <c r="E11" s="41">
        <v>44783</v>
      </c>
      <c r="F11" s="25"/>
      <c r="G11" s="25"/>
      <c r="H11" s="25"/>
      <c r="I11" s="5"/>
      <c r="J11" s="5"/>
      <c r="K11" s="5"/>
      <c r="L11" s="5"/>
    </row>
    <row r="12" spans="1:12" x14ac:dyDescent="0.2">
      <c r="A12" s="24">
        <v>4</v>
      </c>
      <c r="B12" s="24" t="s">
        <v>481</v>
      </c>
      <c r="C12" s="25">
        <v>4046701</v>
      </c>
      <c r="D12" s="25">
        <v>2013</v>
      </c>
      <c r="E12" s="41">
        <v>44783</v>
      </c>
      <c r="F12" s="25"/>
      <c r="G12" s="25"/>
      <c r="H12" s="25"/>
      <c r="I12" s="5"/>
      <c r="J12" s="5"/>
      <c r="K12" s="5"/>
      <c r="L12" s="5"/>
    </row>
    <row r="13" spans="1:12" s="74" customFormat="1" ht="25.5" x14ac:dyDescent="0.2">
      <c r="A13" s="24">
        <v>5</v>
      </c>
      <c r="B13" s="24" t="s">
        <v>576</v>
      </c>
      <c r="C13" s="25" t="s">
        <v>577</v>
      </c>
      <c r="D13" s="25">
        <v>2019</v>
      </c>
      <c r="E13" s="41">
        <v>44783</v>
      </c>
      <c r="F13" s="25"/>
      <c r="G13" s="25"/>
      <c r="H13" s="25"/>
      <c r="I13" s="5"/>
      <c r="J13" s="5"/>
      <c r="K13" s="5"/>
      <c r="L13" s="5"/>
    </row>
    <row r="14" spans="1:12" s="74" customFormat="1" ht="25.5" x14ac:dyDescent="0.2">
      <c r="A14" s="24">
        <v>6</v>
      </c>
      <c r="B14" s="24" t="s">
        <v>576</v>
      </c>
      <c r="C14" s="25" t="s">
        <v>578</v>
      </c>
      <c r="D14" s="25">
        <v>2019</v>
      </c>
      <c r="E14" s="41">
        <v>44783</v>
      </c>
      <c r="F14" s="25"/>
      <c r="G14" s="25"/>
      <c r="H14" s="25"/>
      <c r="I14" s="5"/>
      <c r="J14" s="5"/>
      <c r="K14" s="5"/>
      <c r="L14" s="5"/>
    </row>
    <row r="15" spans="1:12" s="74" customFormat="1" ht="25.5" x14ac:dyDescent="0.2">
      <c r="A15" s="24">
        <v>7</v>
      </c>
      <c r="B15" s="24" t="s">
        <v>579</v>
      </c>
      <c r="C15" s="25" t="s">
        <v>580</v>
      </c>
      <c r="D15" s="25">
        <v>2020</v>
      </c>
      <c r="E15" s="41">
        <v>44783</v>
      </c>
      <c r="F15" s="25"/>
      <c r="G15" s="25"/>
      <c r="H15" s="25"/>
      <c r="I15" s="5"/>
      <c r="J15" s="5"/>
      <c r="K15" s="5"/>
      <c r="L15" s="5"/>
    </row>
    <row r="16" spans="1:12" s="74" customFormat="1" ht="25.5" x14ac:dyDescent="0.2">
      <c r="A16" s="24">
        <v>8</v>
      </c>
      <c r="B16" s="24" t="s">
        <v>579</v>
      </c>
      <c r="C16" s="25" t="s">
        <v>581</v>
      </c>
      <c r="D16" s="25">
        <v>2020</v>
      </c>
      <c r="E16" s="41">
        <v>44783</v>
      </c>
      <c r="F16" s="25"/>
      <c r="G16" s="25"/>
      <c r="H16" s="25"/>
      <c r="I16" s="5"/>
      <c r="J16" s="5"/>
      <c r="K16" s="5"/>
      <c r="L16" s="5"/>
    </row>
    <row r="17" spans="1:12" s="74" customFormat="1" ht="25.5" x14ac:dyDescent="0.2">
      <c r="A17" s="24">
        <v>9</v>
      </c>
      <c r="B17" s="24" t="s">
        <v>579</v>
      </c>
      <c r="C17" s="25" t="s">
        <v>582</v>
      </c>
      <c r="D17" s="25">
        <v>2020</v>
      </c>
      <c r="E17" s="41">
        <v>44783</v>
      </c>
      <c r="F17" s="25"/>
      <c r="G17" s="25"/>
      <c r="H17" s="25"/>
      <c r="I17" s="5"/>
      <c r="J17" s="5"/>
      <c r="K17" s="5"/>
      <c r="L17" s="5"/>
    </row>
    <row r="18" spans="1:12" s="78" customFormat="1" x14ac:dyDescent="0.2">
      <c r="A18" s="24">
        <v>10</v>
      </c>
      <c r="B18" s="24" t="s">
        <v>595</v>
      </c>
      <c r="C18" s="25" t="s">
        <v>596</v>
      </c>
      <c r="D18" s="25">
        <v>2021</v>
      </c>
      <c r="E18" s="41">
        <v>44783</v>
      </c>
      <c r="F18" s="25"/>
      <c r="G18" s="25"/>
      <c r="H18" s="25"/>
      <c r="I18" s="5"/>
      <c r="J18" s="5"/>
      <c r="K18" s="5"/>
      <c r="L18" s="5"/>
    </row>
    <row r="19" spans="1:12" s="74" customFormat="1" x14ac:dyDescent="0.2">
      <c r="A19" s="24">
        <v>11</v>
      </c>
      <c r="B19" s="24" t="s">
        <v>583</v>
      </c>
      <c r="C19" s="25" t="s">
        <v>584</v>
      </c>
      <c r="D19" s="25">
        <v>2020</v>
      </c>
      <c r="E19" s="41">
        <v>44783</v>
      </c>
      <c r="F19" s="25"/>
      <c r="G19" s="25"/>
      <c r="H19" s="25"/>
      <c r="I19" s="5"/>
      <c r="J19" s="5"/>
      <c r="K19" s="5"/>
      <c r="L19" s="5"/>
    </row>
    <row r="20" spans="1:12" x14ac:dyDescent="0.2">
      <c r="A20" s="24">
        <v>12</v>
      </c>
      <c r="B20" s="24" t="s">
        <v>482</v>
      </c>
      <c r="C20" s="25">
        <v>704109039</v>
      </c>
      <c r="D20" s="25">
        <v>2004</v>
      </c>
      <c r="E20" s="41">
        <v>44783</v>
      </c>
      <c r="F20" s="25"/>
      <c r="G20" s="25"/>
      <c r="H20" s="25"/>
      <c r="I20" s="5"/>
      <c r="J20" s="5"/>
      <c r="K20" s="5"/>
      <c r="L20" s="5"/>
    </row>
    <row r="21" spans="1:12" x14ac:dyDescent="0.2">
      <c r="A21" s="24">
        <v>13</v>
      </c>
      <c r="B21" s="24" t="s">
        <v>555</v>
      </c>
      <c r="C21" s="25" t="s">
        <v>556</v>
      </c>
      <c r="D21" s="25">
        <v>2012</v>
      </c>
      <c r="E21" s="41">
        <v>44783</v>
      </c>
      <c r="F21" s="25"/>
      <c r="G21" s="25"/>
      <c r="H21" s="25"/>
      <c r="I21" s="5"/>
      <c r="J21" s="5"/>
      <c r="K21" s="5"/>
      <c r="L21" s="5"/>
    </row>
    <row r="22" spans="1:12" ht="12.75" customHeight="1" x14ac:dyDescent="0.2">
      <c r="A22" s="24">
        <v>14</v>
      </c>
      <c r="B22" s="24" t="s">
        <v>484</v>
      </c>
      <c r="C22" s="25" t="s">
        <v>401</v>
      </c>
      <c r="D22" s="25">
        <v>2007</v>
      </c>
      <c r="E22" s="41">
        <v>44783</v>
      </c>
      <c r="F22" s="25"/>
      <c r="G22" s="25"/>
      <c r="H22" s="25"/>
      <c r="I22" s="5"/>
      <c r="J22" s="5"/>
      <c r="K22" s="5"/>
      <c r="L22" s="5"/>
    </row>
    <row r="23" spans="1:12" x14ac:dyDescent="0.2">
      <c r="A23" s="24">
        <v>15</v>
      </c>
      <c r="B23" s="24" t="s">
        <v>483</v>
      </c>
      <c r="C23" s="25">
        <v>2590</v>
      </c>
      <c r="D23" s="25">
        <v>2008</v>
      </c>
      <c r="E23" s="41">
        <v>44783</v>
      </c>
      <c r="F23" s="25"/>
      <c r="G23" s="25"/>
      <c r="H23" s="25"/>
      <c r="I23" s="5"/>
      <c r="J23" s="5"/>
      <c r="K23" s="5"/>
      <c r="L23" s="5"/>
    </row>
    <row r="24" spans="1:12" x14ac:dyDescent="0.2">
      <c r="A24" s="24">
        <v>16</v>
      </c>
      <c r="B24" s="24" t="s">
        <v>483</v>
      </c>
      <c r="C24" s="25">
        <v>2591</v>
      </c>
      <c r="D24" s="25">
        <v>2008</v>
      </c>
      <c r="E24" s="41">
        <v>44783</v>
      </c>
      <c r="F24" s="25"/>
      <c r="G24" s="25"/>
      <c r="H24" s="25"/>
      <c r="I24" s="5"/>
      <c r="J24" s="5"/>
      <c r="K24" s="5"/>
      <c r="L24" s="5"/>
    </row>
    <row r="25" spans="1:12" x14ac:dyDescent="0.2">
      <c r="A25" s="24">
        <v>17</v>
      </c>
      <c r="B25" s="24" t="s">
        <v>483</v>
      </c>
      <c r="C25" s="25">
        <v>2592</v>
      </c>
      <c r="D25" s="25">
        <v>2008</v>
      </c>
      <c r="E25" s="41">
        <v>44783</v>
      </c>
      <c r="F25" s="25"/>
      <c r="G25" s="25"/>
      <c r="H25" s="25"/>
      <c r="I25" s="5"/>
      <c r="J25" s="5"/>
      <c r="K25" s="5"/>
      <c r="L25" s="5"/>
    </row>
    <row r="26" spans="1:12" x14ac:dyDescent="0.2">
      <c r="A26" s="24">
        <v>18</v>
      </c>
      <c r="B26" s="24" t="s">
        <v>483</v>
      </c>
      <c r="C26" s="25">
        <v>2593</v>
      </c>
      <c r="D26" s="25">
        <v>2008</v>
      </c>
      <c r="E26" s="41">
        <v>44783</v>
      </c>
      <c r="F26" s="25"/>
      <c r="G26" s="25"/>
      <c r="H26" s="25"/>
      <c r="I26" s="5"/>
      <c r="J26" s="5"/>
      <c r="K26" s="5"/>
      <c r="L26" s="5"/>
    </row>
    <row r="27" spans="1:12" ht="97.5" customHeight="1" x14ac:dyDescent="0.2">
      <c r="A27" s="27"/>
      <c r="B27" s="167" t="s">
        <v>445</v>
      </c>
      <c r="C27" s="168"/>
      <c r="D27" s="168"/>
      <c r="E27" s="168"/>
      <c r="F27" s="169"/>
      <c r="G27" s="25" t="s">
        <v>338</v>
      </c>
      <c r="H27" s="28"/>
      <c r="I27" s="5"/>
      <c r="J27" s="5"/>
      <c r="K27" s="5"/>
      <c r="L27" s="5"/>
    </row>
    <row r="28" spans="1:12" ht="54.75" customHeight="1" x14ac:dyDescent="0.2">
      <c r="A28" s="27"/>
      <c r="B28" s="162" t="s">
        <v>402</v>
      </c>
      <c r="C28" s="162"/>
      <c r="D28" s="162"/>
      <c r="E28" s="162"/>
      <c r="F28" s="162"/>
      <c r="G28" s="25" t="s">
        <v>338</v>
      </c>
      <c r="H28" s="28"/>
      <c r="I28" s="5"/>
      <c r="J28" s="5"/>
      <c r="K28" s="5"/>
      <c r="L28" s="5"/>
    </row>
    <row r="29" spans="1:12" x14ac:dyDescent="0.2">
      <c r="A29" s="27"/>
      <c r="B29" s="27"/>
      <c r="C29" s="28"/>
      <c r="D29" s="28"/>
      <c r="E29" s="28"/>
      <c r="F29" s="28"/>
      <c r="G29" s="28"/>
      <c r="H29" s="28"/>
      <c r="I29" s="5"/>
      <c r="J29" s="5"/>
      <c r="K29" s="5"/>
      <c r="L29" s="5"/>
    </row>
    <row r="30" spans="1:12" x14ac:dyDescent="0.2">
      <c r="B30" s="3"/>
      <c r="C30" s="26"/>
      <c r="D30" s="5"/>
      <c r="E30" s="5"/>
      <c r="F30" s="5"/>
      <c r="G30" s="5"/>
      <c r="H30" s="5"/>
      <c r="I30" s="5"/>
      <c r="J30" s="5"/>
      <c r="K30" s="5"/>
      <c r="L30" s="5"/>
    </row>
    <row r="31" spans="1:12" x14ac:dyDescent="0.2">
      <c r="A31" s="150" t="s">
        <v>192</v>
      </c>
      <c r="B31" s="151"/>
      <c r="C31" s="152"/>
      <c r="D31" s="153"/>
      <c r="E31" s="154"/>
      <c r="F31" s="155" t="s">
        <v>178</v>
      </c>
      <c r="G31" s="156"/>
      <c r="H31" s="157"/>
      <c r="I31" s="152"/>
      <c r="J31" s="153"/>
      <c r="K31" s="158"/>
    </row>
  </sheetData>
  <customSheetViews>
    <customSheetView guid="{D0B43696-C677-428B-89B5-FA762F48CCFE}" showPageBreaks="1" printArea="1" view="pageBreakPreview" topLeftCell="A4">
      <selection activeCell="H17" sqref="H17:H18"/>
      <pageMargins left="0.78740157480314965" right="0.78740157480314965" top="0.98425196850393704" bottom="0.98425196850393704" header="0.51181102362204722" footer="0.51181102362204722"/>
      <pageSetup paperSize="9" scale="7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 topLeftCell="A4">
      <selection activeCell="H17" sqref="H17:H18"/>
      <pageMargins left="0.78740157480314965" right="0.78740157480314965" top="0.98425196850393704" bottom="0.98425196850393704" header="0.51181102362204722" footer="0.51181102362204722"/>
      <pageSetup paperSize="9" scale="7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31:B31"/>
    <mergeCell ref="C31:E31"/>
    <mergeCell ref="F31:H31"/>
    <mergeCell ref="I31:K31"/>
    <mergeCell ref="A4:B4"/>
    <mergeCell ref="C4:K4"/>
    <mergeCell ref="B6:L6"/>
    <mergeCell ref="B27:F27"/>
    <mergeCell ref="B28:F28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67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Arkusz21"/>
  <dimension ref="A2:L15"/>
  <sheetViews>
    <sheetView view="pageBreakPreview" zoomScaleNormal="100" workbookViewId="0">
      <selection activeCell="C15" sqref="C15:E15"/>
    </sheetView>
  </sheetViews>
  <sheetFormatPr defaultRowHeight="12.75" x14ac:dyDescent="0.2"/>
  <cols>
    <col min="1" max="1" width="3.5703125" customWidth="1"/>
    <col min="2" max="2" width="36" customWidth="1"/>
    <col min="3" max="3" width="10.5703125" customWidth="1"/>
    <col min="4" max="4" width="10.85546875" customWidth="1"/>
    <col min="5" max="5" width="11.85546875" customWidth="1"/>
    <col min="6" max="6" width="10.5703125" customWidth="1"/>
    <col min="7" max="7" width="13.42578125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</v>
      </c>
      <c r="C2" s="21">
        <v>20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ht="37.5" customHeight="1" x14ac:dyDescent="0.2">
      <c r="A4" s="143" t="s">
        <v>176</v>
      </c>
      <c r="B4" s="144"/>
      <c r="C4" s="147" t="s">
        <v>510</v>
      </c>
      <c r="D4" s="148"/>
      <c r="E4" s="148"/>
      <c r="F4" s="148"/>
      <c r="G4" s="148"/>
      <c r="H4" s="148"/>
      <c r="I4" s="148"/>
      <c r="J4" s="148"/>
      <c r="K4" s="149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5.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">
      <c r="A9" s="24">
        <v>1</v>
      </c>
      <c r="B9" s="24" t="s">
        <v>424</v>
      </c>
      <c r="C9" s="25" t="s">
        <v>425</v>
      </c>
      <c r="D9" s="25">
        <v>2007</v>
      </c>
      <c r="E9" s="41">
        <v>44783</v>
      </c>
      <c r="F9" s="25"/>
      <c r="G9" s="25"/>
      <c r="H9" s="25"/>
      <c r="I9" s="5"/>
      <c r="J9" s="5"/>
      <c r="K9" s="5"/>
      <c r="L9" s="5"/>
    </row>
    <row r="10" spans="1:12" x14ac:dyDescent="0.2">
      <c r="A10" s="24">
        <v>2</v>
      </c>
      <c r="B10" s="24" t="s">
        <v>406</v>
      </c>
      <c r="C10" s="25">
        <v>5126193</v>
      </c>
      <c r="D10" s="25">
        <v>2006</v>
      </c>
      <c r="E10" s="41">
        <v>44783</v>
      </c>
      <c r="F10" s="25"/>
      <c r="G10" s="25"/>
      <c r="H10" s="25"/>
      <c r="I10" s="5"/>
      <c r="J10" s="5"/>
      <c r="K10" s="5"/>
      <c r="L10" s="5"/>
    </row>
    <row r="11" spans="1:12" ht="105" customHeight="1" x14ac:dyDescent="0.2">
      <c r="A11" s="27"/>
      <c r="B11" s="167" t="s">
        <v>395</v>
      </c>
      <c r="C11" s="168"/>
      <c r="D11" s="168"/>
      <c r="E11" s="168"/>
      <c r="F11" s="169"/>
      <c r="G11" s="25" t="s">
        <v>338</v>
      </c>
      <c r="H11" s="28"/>
      <c r="I11" s="5"/>
      <c r="J11" s="5"/>
      <c r="K11" s="5"/>
      <c r="L11" s="5"/>
    </row>
    <row r="12" spans="1:12" ht="57.6" customHeight="1" x14ac:dyDescent="0.2">
      <c r="A12" s="27"/>
      <c r="B12" s="162" t="s">
        <v>402</v>
      </c>
      <c r="C12" s="162"/>
      <c r="D12" s="162"/>
      <c r="E12" s="162"/>
      <c r="F12" s="162"/>
      <c r="G12" s="25" t="s">
        <v>338</v>
      </c>
      <c r="H12" s="28"/>
      <c r="I12" s="5"/>
      <c r="J12" s="5"/>
      <c r="K12" s="5"/>
      <c r="L12" s="5"/>
    </row>
    <row r="13" spans="1:12" x14ac:dyDescent="0.2">
      <c r="A13" s="27"/>
      <c r="B13" s="27"/>
      <c r="C13" s="28"/>
      <c r="D13" s="28"/>
      <c r="E13" s="28"/>
      <c r="F13" s="28"/>
      <c r="G13" s="28"/>
      <c r="H13" s="28"/>
      <c r="I13" s="5"/>
      <c r="J13" s="5"/>
      <c r="K13" s="5"/>
      <c r="L13" s="5"/>
    </row>
    <row r="14" spans="1:12" x14ac:dyDescent="0.2">
      <c r="B14" s="3"/>
      <c r="C14" s="26"/>
      <c r="D14" s="5"/>
      <c r="E14" s="5"/>
      <c r="F14" s="5"/>
      <c r="G14" s="5"/>
      <c r="H14" s="5"/>
      <c r="I14" s="5"/>
      <c r="J14" s="5"/>
      <c r="K14" s="5"/>
      <c r="L14" s="5"/>
    </row>
    <row r="15" spans="1:12" x14ac:dyDescent="0.2">
      <c r="A15" s="150" t="s">
        <v>192</v>
      </c>
      <c r="B15" s="151"/>
      <c r="C15" s="152"/>
      <c r="D15" s="153"/>
      <c r="E15" s="154"/>
      <c r="F15" s="155" t="s">
        <v>178</v>
      </c>
      <c r="G15" s="156"/>
      <c r="H15" s="157"/>
      <c r="I15" s="152"/>
      <c r="J15" s="153"/>
      <c r="K15" s="158"/>
    </row>
  </sheetData>
  <customSheetViews>
    <customSheetView guid="{D0B43696-C677-428B-89B5-FA762F48CCFE}" showPageBreaks="1" printArea="1" view="pageBreakPreview">
      <selection activeCell="H12" sqref="H12"/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H12" sqref="H12"/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5:B15"/>
    <mergeCell ref="C15:E15"/>
    <mergeCell ref="F15:H15"/>
    <mergeCell ref="I15:K15"/>
    <mergeCell ref="A4:B4"/>
    <mergeCell ref="C4:K4"/>
    <mergeCell ref="B6:L6"/>
    <mergeCell ref="B11:F11"/>
    <mergeCell ref="B12:F12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77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Arkusz22"/>
  <dimension ref="A2:L37"/>
  <sheetViews>
    <sheetView view="pageBreakPreview" topLeftCell="A22" zoomScaleNormal="100" zoomScaleSheetLayoutView="100" workbookViewId="0">
      <selection activeCell="C37" sqref="C37:E37"/>
    </sheetView>
  </sheetViews>
  <sheetFormatPr defaultRowHeight="12.75" x14ac:dyDescent="0.2"/>
  <cols>
    <col min="1" max="1" width="3.5703125" customWidth="1"/>
    <col min="2" max="2" width="36" customWidth="1"/>
    <col min="3" max="3" width="16.85546875" customWidth="1"/>
    <col min="4" max="4" width="10.85546875" customWidth="1"/>
    <col min="5" max="5" width="11.85546875" customWidth="1"/>
    <col min="6" max="6" width="10.5703125" customWidth="1"/>
    <col min="7" max="7" width="13.42578125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</v>
      </c>
      <c r="C2" s="21">
        <v>21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43" t="s">
        <v>176</v>
      </c>
      <c r="B4" s="144"/>
      <c r="C4" s="147" t="s">
        <v>511</v>
      </c>
      <c r="D4" s="148"/>
      <c r="E4" s="148"/>
      <c r="F4" s="148"/>
      <c r="G4" s="148"/>
      <c r="H4" s="148"/>
      <c r="I4" s="148"/>
      <c r="J4" s="148"/>
      <c r="K4" s="149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5.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">
      <c r="A9" s="24">
        <v>1</v>
      </c>
      <c r="B9" s="24" t="s">
        <v>620</v>
      </c>
      <c r="C9" s="35">
        <v>137158</v>
      </c>
      <c r="D9" s="35">
        <v>2011</v>
      </c>
      <c r="E9" s="79">
        <v>44776</v>
      </c>
      <c r="F9" s="25"/>
      <c r="G9" s="25"/>
      <c r="H9" s="25"/>
      <c r="I9" s="5"/>
      <c r="J9" s="5"/>
      <c r="K9" s="5"/>
      <c r="L9" s="5"/>
    </row>
    <row r="10" spans="1:12" x14ac:dyDescent="0.2">
      <c r="A10" s="24">
        <v>2</v>
      </c>
      <c r="B10" s="24" t="s">
        <v>621</v>
      </c>
      <c r="C10" s="35">
        <v>246667</v>
      </c>
      <c r="D10" s="35">
        <v>2014</v>
      </c>
      <c r="E10" s="79">
        <v>44776</v>
      </c>
      <c r="F10" s="25"/>
      <c r="G10" s="25"/>
      <c r="H10" s="25"/>
      <c r="I10" s="5"/>
      <c r="J10" s="5"/>
      <c r="K10" s="5"/>
      <c r="L10" s="5"/>
    </row>
    <row r="11" spans="1:12" x14ac:dyDescent="0.2">
      <c r="A11" s="24">
        <v>3</v>
      </c>
      <c r="B11" s="24" t="s">
        <v>620</v>
      </c>
      <c r="C11" s="35" t="s">
        <v>622</v>
      </c>
      <c r="D11" s="35">
        <v>2016</v>
      </c>
      <c r="E11" s="79">
        <v>44776</v>
      </c>
      <c r="F11" s="25"/>
      <c r="G11" s="25"/>
      <c r="H11" s="25"/>
      <c r="I11" s="5"/>
      <c r="J11" s="5"/>
      <c r="K11" s="5"/>
      <c r="L11" s="5"/>
    </row>
    <row r="12" spans="1:12" x14ac:dyDescent="0.2">
      <c r="A12" s="24">
        <v>4</v>
      </c>
      <c r="B12" s="24" t="s">
        <v>620</v>
      </c>
      <c r="C12" s="35" t="s">
        <v>623</v>
      </c>
      <c r="D12" s="35">
        <v>2016</v>
      </c>
      <c r="E12" s="79">
        <v>44776</v>
      </c>
      <c r="F12" s="25"/>
      <c r="G12" s="25"/>
      <c r="H12" s="25"/>
      <c r="I12" s="5"/>
      <c r="J12" s="5"/>
      <c r="K12" s="5"/>
      <c r="L12" s="5"/>
    </row>
    <row r="13" spans="1:12" x14ac:dyDescent="0.2">
      <c r="A13" s="24">
        <v>5</v>
      </c>
      <c r="B13" s="24" t="s">
        <v>620</v>
      </c>
      <c r="C13" s="35" t="s">
        <v>624</v>
      </c>
      <c r="D13" s="35">
        <v>2016</v>
      </c>
      <c r="E13" s="79">
        <v>44776</v>
      </c>
      <c r="F13" s="25"/>
      <c r="G13" s="25"/>
      <c r="H13" s="25"/>
      <c r="I13" s="5"/>
      <c r="J13" s="5"/>
      <c r="K13" s="5"/>
      <c r="L13" s="5"/>
    </row>
    <row r="14" spans="1:12" x14ac:dyDescent="0.2">
      <c r="A14" s="24">
        <v>6</v>
      </c>
      <c r="B14" s="24" t="s">
        <v>620</v>
      </c>
      <c r="C14" s="35" t="s">
        <v>625</v>
      </c>
      <c r="D14" s="35">
        <v>2016</v>
      </c>
      <c r="E14" s="79">
        <v>44776</v>
      </c>
      <c r="F14" s="25"/>
      <c r="G14" s="25"/>
      <c r="H14" s="25"/>
      <c r="I14" s="5"/>
      <c r="J14" s="5"/>
      <c r="K14" s="5"/>
      <c r="L14" s="5"/>
    </row>
    <row r="15" spans="1:12" x14ac:dyDescent="0.2">
      <c r="A15" s="24">
        <v>7</v>
      </c>
      <c r="B15" s="24" t="s">
        <v>620</v>
      </c>
      <c r="C15" s="35" t="s">
        <v>626</v>
      </c>
      <c r="D15" s="35">
        <v>2016</v>
      </c>
      <c r="E15" s="79">
        <v>44776</v>
      </c>
      <c r="F15" s="25"/>
      <c r="G15" s="25"/>
      <c r="H15" s="25"/>
      <c r="I15" s="5"/>
      <c r="J15" s="5"/>
      <c r="K15" s="5"/>
      <c r="L15" s="5"/>
    </row>
    <row r="16" spans="1:12" x14ac:dyDescent="0.2">
      <c r="A16" s="24">
        <v>8</v>
      </c>
      <c r="B16" s="24" t="s">
        <v>621</v>
      </c>
      <c r="C16" s="35">
        <v>155545</v>
      </c>
      <c r="D16" s="35">
        <v>2011</v>
      </c>
      <c r="E16" s="79">
        <v>44776</v>
      </c>
      <c r="F16" s="25"/>
      <c r="G16" s="25"/>
      <c r="H16" s="25"/>
      <c r="I16" s="5"/>
      <c r="J16" s="5"/>
      <c r="K16" s="5"/>
      <c r="L16" s="5"/>
    </row>
    <row r="17" spans="1:12" s="74" customFormat="1" x14ac:dyDescent="0.2">
      <c r="A17" s="24">
        <v>9</v>
      </c>
      <c r="B17" s="24" t="s">
        <v>620</v>
      </c>
      <c r="C17" s="35" t="s">
        <v>627</v>
      </c>
      <c r="D17" s="35">
        <v>2014</v>
      </c>
      <c r="E17" s="79">
        <v>44776</v>
      </c>
      <c r="F17" s="25"/>
      <c r="G17" s="25"/>
      <c r="H17" s="25"/>
      <c r="I17" s="5"/>
      <c r="J17" s="5"/>
      <c r="K17" s="5"/>
      <c r="L17" s="5"/>
    </row>
    <row r="18" spans="1:12" s="74" customFormat="1" x14ac:dyDescent="0.2">
      <c r="A18" s="24">
        <v>10</v>
      </c>
      <c r="B18" s="24" t="s">
        <v>620</v>
      </c>
      <c r="C18" s="35" t="s">
        <v>628</v>
      </c>
      <c r="D18" s="35">
        <v>2016</v>
      </c>
      <c r="E18" s="79">
        <v>44776</v>
      </c>
      <c r="F18" s="25"/>
      <c r="G18" s="25"/>
      <c r="H18" s="25"/>
      <c r="I18" s="5"/>
      <c r="J18" s="5"/>
      <c r="K18" s="5"/>
      <c r="L18" s="5"/>
    </row>
    <row r="19" spans="1:12" s="74" customFormat="1" x14ac:dyDescent="0.2">
      <c r="A19" s="24">
        <v>11</v>
      </c>
      <c r="B19" s="24" t="s">
        <v>620</v>
      </c>
      <c r="C19" s="35" t="s">
        <v>629</v>
      </c>
      <c r="D19" s="35">
        <v>2016</v>
      </c>
      <c r="E19" s="79">
        <v>44776</v>
      </c>
      <c r="F19" s="25"/>
      <c r="G19" s="25"/>
      <c r="H19" s="25"/>
      <c r="I19" s="5"/>
      <c r="J19" s="5"/>
      <c r="K19" s="5"/>
      <c r="L19" s="5"/>
    </row>
    <row r="20" spans="1:12" s="74" customFormat="1" x14ac:dyDescent="0.2">
      <c r="A20" s="24">
        <v>12</v>
      </c>
      <c r="B20" s="24" t="s">
        <v>621</v>
      </c>
      <c r="C20" s="35">
        <v>246705</v>
      </c>
      <c r="D20" s="35">
        <v>2014</v>
      </c>
      <c r="E20" s="79">
        <v>44776</v>
      </c>
      <c r="F20" s="25"/>
      <c r="G20" s="25"/>
      <c r="H20" s="25"/>
      <c r="I20" s="5"/>
      <c r="J20" s="5"/>
      <c r="K20" s="5"/>
      <c r="L20" s="5"/>
    </row>
    <row r="21" spans="1:12" s="74" customFormat="1" x14ac:dyDescent="0.2">
      <c r="A21" s="24">
        <v>13</v>
      </c>
      <c r="B21" s="24" t="s">
        <v>621</v>
      </c>
      <c r="C21" s="35">
        <v>246757</v>
      </c>
      <c r="D21" s="35">
        <v>2014</v>
      </c>
      <c r="E21" s="79">
        <v>44776</v>
      </c>
      <c r="F21" s="25"/>
      <c r="G21" s="25"/>
      <c r="H21" s="25"/>
      <c r="I21" s="5"/>
      <c r="J21" s="5"/>
      <c r="K21" s="5"/>
      <c r="L21" s="5"/>
    </row>
    <row r="22" spans="1:12" s="74" customFormat="1" x14ac:dyDescent="0.2">
      <c r="A22" s="24">
        <v>14</v>
      </c>
      <c r="B22" s="24" t="s">
        <v>621</v>
      </c>
      <c r="C22" s="35">
        <v>246693</v>
      </c>
      <c r="D22" s="35">
        <v>2014</v>
      </c>
      <c r="E22" s="79">
        <v>44776</v>
      </c>
      <c r="F22" s="25"/>
      <c r="G22" s="25"/>
      <c r="H22" s="25"/>
      <c r="I22" s="5"/>
      <c r="J22" s="5"/>
      <c r="K22" s="5"/>
      <c r="L22" s="5"/>
    </row>
    <row r="23" spans="1:12" s="74" customFormat="1" x14ac:dyDescent="0.2">
      <c r="A23" s="24">
        <v>15</v>
      </c>
      <c r="B23" s="24" t="s">
        <v>621</v>
      </c>
      <c r="C23" s="35" t="s">
        <v>630</v>
      </c>
      <c r="D23" s="35">
        <v>2014</v>
      </c>
      <c r="E23" s="79">
        <v>44776</v>
      </c>
      <c r="F23" s="25"/>
      <c r="G23" s="25"/>
      <c r="H23" s="25"/>
      <c r="I23" s="5"/>
      <c r="J23" s="5"/>
      <c r="K23" s="5"/>
      <c r="L23" s="5"/>
    </row>
    <row r="24" spans="1:12" s="74" customFormat="1" x14ac:dyDescent="0.2">
      <c r="A24" s="24">
        <v>16</v>
      </c>
      <c r="B24" s="24" t="s">
        <v>620</v>
      </c>
      <c r="C24" s="35" t="s">
        <v>631</v>
      </c>
      <c r="D24" s="35">
        <v>2008</v>
      </c>
      <c r="E24" s="79">
        <v>44986</v>
      </c>
      <c r="F24" s="25"/>
      <c r="G24" s="25"/>
      <c r="H24" s="25"/>
      <c r="I24" s="5"/>
      <c r="J24" s="5"/>
      <c r="K24" s="5"/>
      <c r="L24" s="5"/>
    </row>
    <row r="25" spans="1:12" s="74" customFormat="1" x14ac:dyDescent="0.2">
      <c r="A25" s="24">
        <v>17</v>
      </c>
      <c r="B25" s="24" t="s">
        <v>620</v>
      </c>
      <c r="C25" s="35" t="s">
        <v>632</v>
      </c>
      <c r="D25" s="35">
        <v>2008</v>
      </c>
      <c r="E25" s="79">
        <v>45022</v>
      </c>
      <c r="F25" s="25"/>
      <c r="G25" s="25"/>
      <c r="H25" s="25"/>
      <c r="I25" s="5"/>
      <c r="J25" s="5"/>
      <c r="K25" s="5"/>
      <c r="L25" s="5"/>
    </row>
    <row r="26" spans="1:12" s="74" customFormat="1" x14ac:dyDescent="0.2">
      <c r="A26" s="24">
        <v>18</v>
      </c>
      <c r="B26" s="24" t="s">
        <v>620</v>
      </c>
      <c r="C26" s="35" t="s">
        <v>633</v>
      </c>
      <c r="D26" s="35">
        <v>2015</v>
      </c>
      <c r="E26" s="79">
        <v>45083</v>
      </c>
      <c r="F26" s="25"/>
      <c r="G26" s="25"/>
      <c r="H26" s="25"/>
      <c r="I26" s="5"/>
      <c r="J26" s="5"/>
      <c r="K26" s="5"/>
      <c r="L26" s="5"/>
    </row>
    <row r="27" spans="1:12" s="74" customFormat="1" x14ac:dyDescent="0.2">
      <c r="A27" s="24">
        <v>19</v>
      </c>
      <c r="B27" s="24" t="s">
        <v>620</v>
      </c>
      <c r="C27" s="35" t="s">
        <v>634</v>
      </c>
      <c r="D27" s="35">
        <v>2015</v>
      </c>
      <c r="E27" s="79">
        <v>45083</v>
      </c>
      <c r="F27" s="25"/>
      <c r="G27" s="25"/>
      <c r="H27" s="25"/>
      <c r="I27" s="5"/>
      <c r="J27" s="5"/>
      <c r="K27" s="5"/>
      <c r="L27" s="5"/>
    </row>
    <row r="28" spans="1:12" s="74" customFormat="1" x14ac:dyDescent="0.2">
      <c r="A28" s="24">
        <v>20</v>
      </c>
      <c r="B28" s="24" t="s">
        <v>621</v>
      </c>
      <c r="C28" s="35" t="s">
        <v>635</v>
      </c>
      <c r="D28" s="35">
        <v>2011</v>
      </c>
      <c r="E28" s="79">
        <v>45083</v>
      </c>
      <c r="F28" s="25"/>
      <c r="G28" s="25"/>
      <c r="H28" s="25"/>
      <c r="I28" s="5"/>
      <c r="J28" s="5"/>
      <c r="K28" s="5"/>
      <c r="L28" s="5"/>
    </row>
    <row r="29" spans="1:12" s="92" customFormat="1" x14ac:dyDescent="0.2">
      <c r="A29" s="24">
        <v>21</v>
      </c>
      <c r="B29" s="24" t="s">
        <v>620</v>
      </c>
      <c r="C29" s="35" t="s">
        <v>636</v>
      </c>
      <c r="D29" s="35">
        <v>2015</v>
      </c>
      <c r="E29" s="79">
        <v>45084</v>
      </c>
      <c r="F29" s="25"/>
      <c r="G29" s="25"/>
      <c r="H29" s="25"/>
      <c r="I29" s="5"/>
      <c r="J29" s="5"/>
      <c r="K29" s="5"/>
      <c r="L29" s="5"/>
    </row>
    <row r="30" spans="1:12" s="74" customFormat="1" x14ac:dyDescent="0.2">
      <c r="A30" s="24">
        <v>22</v>
      </c>
      <c r="B30" s="24" t="s">
        <v>620</v>
      </c>
      <c r="C30" s="35" t="s">
        <v>637</v>
      </c>
      <c r="D30" s="35">
        <v>2015</v>
      </c>
      <c r="E30" s="79">
        <v>45084</v>
      </c>
      <c r="F30" s="25"/>
      <c r="G30" s="25"/>
      <c r="H30" s="25"/>
      <c r="I30" s="5"/>
      <c r="J30" s="5"/>
      <c r="K30" s="5"/>
      <c r="L30" s="5"/>
    </row>
    <row r="31" spans="1:12" s="74" customFormat="1" x14ac:dyDescent="0.2">
      <c r="A31" s="24">
        <v>23</v>
      </c>
      <c r="B31" s="24" t="s">
        <v>620</v>
      </c>
      <c r="C31" s="35" t="s">
        <v>638</v>
      </c>
      <c r="D31" s="35">
        <v>2015</v>
      </c>
      <c r="E31" s="79">
        <v>45084</v>
      </c>
      <c r="F31" s="25"/>
      <c r="G31" s="25"/>
      <c r="H31" s="25"/>
      <c r="I31" s="5"/>
      <c r="J31" s="5"/>
      <c r="K31" s="5"/>
      <c r="L31" s="5"/>
    </row>
    <row r="32" spans="1:12" x14ac:dyDescent="0.2">
      <c r="A32" s="24">
        <v>24</v>
      </c>
      <c r="B32" s="46" t="s">
        <v>639</v>
      </c>
      <c r="C32" s="54" t="s">
        <v>640</v>
      </c>
      <c r="D32" s="54">
        <v>2011</v>
      </c>
      <c r="E32" s="79">
        <v>44782</v>
      </c>
      <c r="F32" s="25"/>
      <c r="G32" s="25"/>
      <c r="H32" s="25"/>
      <c r="I32" s="5"/>
      <c r="J32" s="5"/>
      <c r="K32" s="5"/>
      <c r="L32" s="5"/>
    </row>
    <row r="33" spans="1:12" ht="123.75" customHeight="1" x14ac:dyDescent="0.2">
      <c r="A33" s="27"/>
      <c r="B33" s="167" t="s">
        <v>641</v>
      </c>
      <c r="C33" s="168"/>
      <c r="D33" s="168"/>
      <c r="E33" s="168"/>
      <c r="F33" s="169"/>
      <c r="G33" s="25" t="s">
        <v>338</v>
      </c>
      <c r="H33" s="28"/>
      <c r="I33" s="5"/>
      <c r="J33" s="5"/>
      <c r="K33" s="5"/>
      <c r="L33" s="5"/>
    </row>
    <row r="34" spans="1:12" ht="56.25" customHeight="1" x14ac:dyDescent="0.2">
      <c r="A34" s="27"/>
      <c r="B34" s="162" t="s">
        <v>402</v>
      </c>
      <c r="C34" s="162"/>
      <c r="D34" s="162"/>
      <c r="E34" s="162"/>
      <c r="F34" s="162"/>
      <c r="G34" s="25" t="s">
        <v>338</v>
      </c>
      <c r="H34" s="28"/>
      <c r="I34" s="5"/>
      <c r="J34" s="5"/>
      <c r="K34" s="5"/>
      <c r="L34" s="5"/>
    </row>
    <row r="35" spans="1:12" x14ac:dyDescent="0.2">
      <c r="A35" s="27"/>
      <c r="B35" s="27"/>
      <c r="C35" s="28"/>
      <c r="D35" s="28"/>
      <c r="E35" s="28"/>
      <c r="F35" s="28"/>
      <c r="G35" s="28"/>
      <c r="H35" s="28"/>
      <c r="I35" s="5"/>
      <c r="J35" s="5"/>
      <c r="K35" s="5"/>
      <c r="L35" s="5"/>
    </row>
    <row r="36" spans="1:12" x14ac:dyDescent="0.2">
      <c r="B36" s="3"/>
      <c r="C36" s="26"/>
      <c r="D36" s="5"/>
      <c r="E36" s="5"/>
      <c r="F36" s="5"/>
      <c r="G36" s="5"/>
      <c r="H36" s="5"/>
      <c r="I36" s="5"/>
      <c r="J36" s="5"/>
      <c r="K36" s="5"/>
      <c r="L36" s="5"/>
    </row>
    <row r="37" spans="1:12" x14ac:dyDescent="0.2">
      <c r="A37" s="150" t="s">
        <v>192</v>
      </c>
      <c r="B37" s="151"/>
      <c r="C37" s="152"/>
      <c r="D37" s="153"/>
      <c r="E37" s="154"/>
      <c r="F37" s="155" t="s">
        <v>178</v>
      </c>
      <c r="G37" s="156"/>
      <c r="H37" s="157"/>
      <c r="I37" s="152"/>
      <c r="J37" s="153"/>
      <c r="K37" s="158"/>
    </row>
  </sheetData>
  <customSheetViews>
    <customSheetView guid="{D0B43696-C677-428B-89B5-FA762F48CCFE}" showPageBreaks="1" printArea="1" view="pageBreakPreview" topLeftCell="A4">
      <selection activeCell="H32" sqref="H32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5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 topLeftCell="A4">
      <selection activeCell="H32" sqref="H32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5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37:B37"/>
    <mergeCell ref="C37:E37"/>
    <mergeCell ref="F37:H37"/>
    <mergeCell ref="I37:K37"/>
    <mergeCell ref="A4:B4"/>
    <mergeCell ref="C4:K4"/>
    <mergeCell ref="B6:L6"/>
    <mergeCell ref="B33:F33"/>
    <mergeCell ref="B34:F34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54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Arkusz23">
    <pageSetUpPr fitToPage="1"/>
  </sheetPr>
  <dimension ref="A2:L17"/>
  <sheetViews>
    <sheetView view="pageBreakPreview" topLeftCell="A7" zoomScaleNormal="100" workbookViewId="0">
      <selection activeCell="C17" sqref="C17:E17"/>
    </sheetView>
  </sheetViews>
  <sheetFormatPr defaultRowHeight="12.75" x14ac:dyDescent="0.2"/>
  <cols>
    <col min="1" max="1" width="3.5703125" customWidth="1"/>
    <col min="2" max="2" width="36" customWidth="1"/>
    <col min="3" max="3" width="10.5703125" customWidth="1"/>
    <col min="4" max="4" width="10.85546875" customWidth="1"/>
    <col min="5" max="5" width="11.85546875" customWidth="1"/>
    <col min="6" max="6" width="10.5703125" customWidth="1"/>
    <col min="7" max="7" width="13.42578125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</v>
      </c>
      <c r="C2" s="21">
        <v>22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43" t="s">
        <v>176</v>
      </c>
      <c r="B4" s="144"/>
      <c r="C4" s="147" t="s">
        <v>57</v>
      </c>
      <c r="D4" s="148"/>
      <c r="E4" s="148"/>
      <c r="F4" s="148"/>
      <c r="G4" s="148"/>
      <c r="H4" s="148"/>
      <c r="I4" s="148"/>
      <c r="J4" s="148"/>
      <c r="K4" s="149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39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5.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">
      <c r="A9" s="24">
        <v>1</v>
      </c>
      <c r="B9" s="24" t="s">
        <v>362</v>
      </c>
      <c r="C9" s="25">
        <v>6421821</v>
      </c>
      <c r="D9" s="25">
        <v>2007</v>
      </c>
      <c r="E9" s="41">
        <v>44789</v>
      </c>
      <c r="F9" s="25"/>
      <c r="G9" s="25"/>
      <c r="H9" s="25"/>
      <c r="I9" s="5"/>
      <c r="J9" s="5"/>
      <c r="K9" s="5"/>
      <c r="L9" s="5"/>
    </row>
    <row r="10" spans="1:12" x14ac:dyDescent="0.2">
      <c r="A10" s="24">
        <v>2</v>
      </c>
      <c r="B10" s="24" t="s">
        <v>363</v>
      </c>
      <c r="C10" s="25">
        <v>431303</v>
      </c>
      <c r="D10" s="25">
        <v>2005</v>
      </c>
      <c r="E10" s="41">
        <v>44789</v>
      </c>
      <c r="F10" s="25"/>
      <c r="G10" s="25"/>
      <c r="H10" s="25"/>
      <c r="I10" s="5"/>
      <c r="J10" s="5"/>
      <c r="K10" s="5"/>
      <c r="L10" s="5"/>
    </row>
    <row r="11" spans="1:12" x14ac:dyDescent="0.2">
      <c r="A11" s="24">
        <v>3</v>
      </c>
      <c r="B11" s="24" t="s">
        <v>56</v>
      </c>
      <c r="C11" s="25">
        <v>17926626</v>
      </c>
      <c r="D11" s="25">
        <v>2017</v>
      </c>
      <c r="E11" s="45">
        <v>44964</v>
      </c>
      <c r="F11" s="25"/>
      <c r="G11" s="25"/>
      <c r="H11" s="25"/>
      <c r="I11" s="5"/>
      <c r="J11" s="5"/>
      <c r="K11" s="5"/>
      <c r="L11" s="5"/>
    </row>
    <row r="12" spans="1:12" x14ac:dyDescent="0.2">
      <c r="A12" s="24">
        <v>4</v>
      </c>
      <c r="B12" s="53" t="s">
        <v>58</v>
      </c>
      <c r="C12" s="35" t="s">
        <v>59</v>
      </c>
      <c r="D12" s="35">
        <v>2017</v>
      </c>
      <c r="E12" s="45">
        <v>44964</v>
      </c>
      <c r="F12" s="25"/>
      <c r="G12" s="25"/>
      <c r="H12" s="25"/>
      <c r="I12" s="5"/>
      <c r="J12" s="5"/>
      <c r="K12" s="5"/>
      <c r="L12" s="5"/>
    </row>
    <row r="13" spans="1:12" ht="171.75" customHeight="1" x14ac:dyDescent="0.2">
      <c r="A13" s="27"/>
      <c r="B13" s="159" t="s">
        <v>68</v>
      </c>
      <c r="C13" s="159"/>
      <c r="D13" s="159"/>
      <c r="E13" s="159"/>
      <c r="F13" s="159"/>
      <c r="G13" s="25" t="s">
        <v>338</v>
      </c>
      <c r="H13" s="28"/>
      <c r="I13" s="5"/>
      <c r="J13" s="5"/>
      <c r="K13" s="5"/>
      <c r="L13" s="5"/>
    </row>
    <row r="14" spans="1:12" ht="56.25" customHeight="1" x14ac:dyDescent="0.2">
      <c r="A14" s="27"/>
      <c r="B14" s="162" t="s">
        <v>402</v>
      </c>
      <c r="C14" s="162"/>
      <c r="D14" s="162"/>
      <c r="E14" s="162"/>
      <c r="F14" s="162"/>
      <c r="G14" s="25" t="s">
        <v>338</v>
      </c>
      <c r="H14" s="28"/>
      <c r="I14" s="5"/>
      <c r="J14" s="5"/>
      <c r="K14" s="5"/>
      <c r="L14" s="5"/>
    </row>
    <row r="15" spans="1:12" x14ac:dyDescent="0.2">
      <c r="A15" s="27"/>
      <c r="B15" s="27"/>
      <c r="C15" s="28"/>
      <c r="D15" s="28"/>
      <c r="E15" s="28"/>
      <c r="F15" s="28"/>
      <c r="G15" s="28"/>
      <c r="H15" s="28"/>
      <c r="I15" s="5"/>
      <c r="J15" s="5"/>
      <c r="K15" s="5"/>
      <c r="L15" s="5"/>
    </row>
    <row r="16" spans="1:12" x14ac:dyDescent="0.2">
      <c r="B16" s="3"/>
      <c r="C16" s="26"/>
      <c r="D16" s="5"/>
      <c r="E16" s="5"/>
      <c r="F16" s="5"/>
      <c r="G16" s="5"/>
      <c r="H16" s="5"/>
      <c r="I16" s="5"/>
      <c r="J16" s="5"/>
      <c r="K16" s="5"/>
      <c r="L16" s="5"/>
    </row>
    <row r="17" spans="1:11" x14ac:dyDescent="0.2">
      <c r="A17" s="150" t="s">
        <v>192</v>
      </c>
      <c r="B17" s="151"/>
      <c r="C17" s="152"/>
      <c r="D17" s="153"/>
      <c r="E17" s="154"/>
      <c r="F17" s="155" t="s">
        <v>178</v>
      </c>
      <c r="G17" s="156"/>
      <c r="H17" s="157"/>
      <c r="I17" s="152"/>
      <c r="J17" s="153"/>
      <c r="K17" s="158"/>
    </row>
  </sheetData>
  <customSheetViews>
    <customSheetView guid="{D0B43696-C677-428B-89B5-FA762F48CCFE}" showPageBreaks="1" fitToPage="1" printArea="1" view="pageBreakPreview">
      <selection activeCell="N5" sqref="N5"/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fitToPage="1" printArea="1" view="pageBreakPreview">
      <selection activeCell="N5" sqref="N5"/>
      <pageMargins left="0.78740157480314965" right="0.78740157480314965" top="0.98425196850393704" bottom="0.98425196850393704" header="0.51181102362204722" footer="0.51181102362204722"/>
      <pageSetup paperSize="9" scale="85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7:B17"/>
    <mergeCell ref="C17:E17"/>
    <mergeCell ref="F17:H17"/>
    <mergeCell ref="I17:K17"/>
    <mergeCell ref="A4:B4"/>
    <mergeCell ref="C4:K4"/>
    <mergeCell ref="B13:F13"/>
    <mergeCell ref="B6:K6"/>
    <mergeCell ref="B14:F14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84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Arkusz24"/>
  <dimension ref="A2:L14"/>
  <sheetViews>
    <sheetView view="pageBreakPreview" zoomScaleNormal="100" workbookViewId="0">
      <selection activeCell="C14" sqref="C14:E14"/>
    </sheetView>
  </sheetViews>
  <sheetFormatPr defaultRowHeight="12.75" x14ac:dyDescent="0.2"/>
  <cols>
    <col min="1" max="1" width="3.5703125" customWidth="1"/>
    <col min="2" max="2" width="36" customWidth="1"/>
    <col min="3" max="3" width="11.42578125" customWidth="1"/>
    <col min="4" max="4" width="10.85546875" customWidth="1"/>
    <col min="5" max="5" width="11.85546875" customWidth="1"/>
    <col min="6" max="6" width="10.5703125" customWidth="1"/>
    <col min="7" max="7" width="13.42578125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</v>
      </c>
      <c r="C2" s="21">
        <v>23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43" t="s">
        <v>176</v>
      </c>
      <c r="B4" s="144"/>
      <c r="C4" s="147" t="s">
        <v>512</v>
      </c>
      <c r="D4" s="148"/>
      <c r="E4" s="148"/>
      <c r="F4" s="148"/>
      <c r="G4" s="148"/>
      <c r="H4" s="148"/>
      <c r="I4" s="148"/>
      <c r="J4" s="148"/>
      <c r="K4" s="149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5.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ht="38.25" x14ac:dyDescent="0.2">
      <c r="A9" s="24">
        <v>1</v>
      </c>
      <c r="B9" s="24" t="s">
        <v>426</v>
      </c>
      <c r="C9" s="25">
        <v>1042110034</v>
      </c>
      <c r="D9" s="25">
        <v>2012</v>
      </c>
      <c r="E9" s="25" t="s">
        <v>642</v>
      </c>
      <c r="F9" s="25"/>
      <c r="G9" s="25"/>
      <c r="H9" s="25"/>
      <c r="I9" s="5"/>
      <c r="J9" s="5"/>
      <c r="K9" s="5"/>
      <c r="L9" s="5"/>
    </row>
    <row r="10" spans="1:12" ht="122.45" customHeight="1" x14ac:dyDescent="0.2">
      <c r="A10" s="27"/>
      <c r="B10" s="159" t="s">
        <v>477</v>
      </c>
      <c r="C10" s="159"/>
      <c r="D10" s="159"/>
      <c r="E10" s="159"/>
      <c r="F10" s="159"/>
      <c r="G10" s="25" t="s">
        <v>338</v>
      </c>
      <c r="H10" s="28"/>
      <c r="I10" s="5"/>
      <c r="J10" s="5"/>
      <c r="K10" s="5"/>
      <c r="L10" s="5"/>
    </row>
    <row r="11" spans="1:12" ht="51.75" customHeight="1" x14ac:dyDescent="0.2">
      <c r="A11" s="27"/>
      <c r="B11" s="162" t="s">
        <v>402</v>
      </c>
      <c r="C11" s="162"/>
      <c r="D11" s="162"/>
      <c r="E11" s="162"/>
      <c r="F11" s="162"/>
      <c r="G11" s="25" t="s">
        <v>338</v>
      </c>
      <c r="H11" s="28"/>
      <c r="I11" s="5"/>
      <c r="J11" s="5"/>
      <c r="K11" s="5"/>
      <c r="L11" s="5"/>
    </row>
    <row r="12" spans="1:12" x14ac:dyDescent="0.2">
      <c r="A12" s="27"/>
      <c r="B12" s="27"/>
      <c r="C12" s="28"/>
      <c r="D12" s="28"/>
      <c r="E12" s="28"/>
      <c r="F12" s="28"/>
      <c r="G12" s="28"/>
      <c r="H12" s="28"/>
      <c r="I12" s="5"/>
      <c r="J12" s="5"/>
      <c r="K12" s="5"/>
      <c r="L12" s="5"/>
    </row>
    <row r="13" spans="1:12" x14ac:dyDescent="0.2">
      <c r="B13" s="3"/>
      <c r="C13" s="26"/>
      <c r="D13" s="5"/>
      <c r="E13" s="5"/>
      <c r="F13" s="5"/>
      <c r="G13" s="5"/>
      <c r="H13" s="5"/>
      <c r="I13" s="5"/>
      <c r="J13" s="5"/>
      <c r="K13" s="5"/>
      <c r="L13" s="5"/>
    </row>
    <row r="14" spans="1:12" x14ac:dyDescent="0.2">
      <c r="A14" s="150" t="s">
        <v>192</v>
      </c>
      <c r="B14" s="151"/>
      <c r="C14" s="152"/>
      <c r="D14" s="153"/>
      <c r="E14" s="154"/>
      <c r="F14" s="155" t="s">
        <v>178</v>
      </c>
      <c r="G14" s="156"/>
      <c r="H14" s="157"/>
      <c r="I14" s="152"/>
      <c r="J14" s="153"/>
      <c r="K14" s="158"/>
    </row>
  </sheetData>
  <customSheetViews>
    <customSheetView guid="{D0B43696-C677-428B-89B5-FA762F48CCFE}" showPageBreaks="1" printArea="1" view="pageBreakPreview">
      <selection activeCell="H10" sqref="H10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H10" sqref="H10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4:B14"/>
    <mergeCell ref="C14:E14"/>
    <mergeCell ref="F14:H14"/>
    <mergeCell ref="I14:K14"/>
    <mergeCell ref="A4:B4"/>
    <mergeCell ref="C4:K4"/>
    <mergeCell ref="B6:L6"/>
    <mergeCell ref="B10:F10"/>
    <mergeCell ref="B11:F11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77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Arkusz25"/>
  <dimension ref="A2:L17"/>
  <sheetViews>
    <sheetView view="pageBreakPreview" topLeftCell="A7" zoomScaleNormal="100" workbookViewId="0">
      <selection activeCell="C17" sqref="C17:E17"/>
    </sheetView>
  </sheetViews>
  <sheetFormatPr defaultRowHeight="12.75" x14ac:dyDescent="0.2"/>
  <cols>
    <col min="1" max="1" width="3.5703125" customWidth="1"/>
    <col min="2" max="2" width="36" customWidth="1"/>
    <col min="3" max="3" width="11.42578125" customWidth="1"/>
    <col min="4" max="4" width="10.85546875" customWidth="1"/>
    <col min="5" max="5" width="11.85546875" customWidth="1"/>
    <col min="6" max="6" width="10.5703125" customWidth="1"/>
    <col min="7" max="7" width="13.42578125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</v>
      </c>
      <c r="C2" s="21">
        <v>24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43" t="s">
        <v>176</v>
      </c>
      <c r="B4" s="144"/>
      <c r="C4" s="147" t="s">
        <v>513</v>
      </c>
      <c r="D4" s="148"/>
      <c r="E4" s="148"/>
      <c r="F4" s="148"/>
      <c r="G4" s="148"/>
      <c r="H4" s="148"/>
      <c r="I4" s="148"/>
      <c r="J4" s="148"/>
      <c r="K4" s="149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5.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ht="38.25" x14ac:dyDescent="0.2">
      <c r="A9" s="24">
        <v>1</v>
      </c>
      <c r="B9" s="24" t="s">
        <v>427</v>
      </c>
      <c r="C9" s="25" t="s">
        <v>428</v>
      </c>
      <c r="D9" s="25">
        <v>2012</v>
      </c>
      <c r="E9" s="25" t="s">
        <v>643</v>
      </c>
      <c r="F9" s="25"/>
      <c r="G9" s="25"/>
      <c r="H9" s="25"/>
      <c r="I9" s="5"/>
      <c r="J9" s="5"/>
      <c r="K9" s="5"/>
      <c r="L9" s="5"/>
    </row>
    <row r="10" spans="1:12" ht="38.25" x14ac:dyDescent="0.2">
      <c r="A10" s="24">
        <v>2</v>
      </c>
      <c r="B10" s="24" t="s">
        <v>427</v>
      </c>
      <c r="C10" s="25" t="s">
        <v>429</v>
      </c>
      <c r="D10" s="25">
        <v>2012</v>
      </c>
      <c r="E10" s="25" t="s">
        <v>643</v>
      </c>
      <c r="F10" s="25"/>
      <c r="G10" s="25"/>
      <c r="H10" s="25"/>
      <c r="I10" s="5"/>
      <c r="J10" s="5"/>
      <c r="K10" s="5"/>
      <c r="L10" s="5"/>
    </row>
    <row r="11" spans="1:12" ht="25.5" x14ac:dyDescent="0.2">
      <c r="A11" s="24">
        <v>3</v>
      </c>
      <c r="B11" s="24" t="s">
        <v>552</v>
      </c>
      <c r="C11" s="25" t="s">
        <v>553</v>
      </c>
      <c r="D11" s="25">
        <v>2012</v>
      </c>
      <c r="E11" s="41">
        <v>44751</v>
      </c>
      <c r="F11" s="25"/>
      <c r="G11" s="25"/>
      <c r="H11" s="25"/>
      <c r="I11" s="5"/>
      <c r="J11" s="5"/>
      <c r="K11" s="5"/>
      <c r="L11" s="5"/>
    </row>
    <row r="12" spans="1:12" x14ac:dyDescent="0.2">
      <c r="A12" s="24">
        <v>4</v>
      </c>
      <c r="B12" s="24" t="s">
        <v>554</v>
      </c>
      <c r="C12" s="25" t="s">
        <v>449</v>
      </c>
      <c r="D12" s="25">
        <v>2012</v>
      </c>
      <c r="E12" s="41">
        <v>44760</v>
      </c>
      <c r="F12" s="25"/>
      <c r="G12" s="25"/>
      <c r="H12" s="25"/>
      <c r="I12" s="5"/>
      <c r="J12" s="5"/>
      <c r="K12" s="5"/>
      <c r="L12" s="5"/>
    </row>
    <row r="13" spans="1:12" ht="128.25" customHeight="1" x14ac:dyDescent="0.2">
      <c r="A13" s="27"/>
      <c r="B13" s="159" t="s">
        <v>431</v>
      </c>
      <c r="C13" s="159"/>
      <c r="D13" s="159"/>
      <c r="E13" s="159"/>
      <c r="F13" s="159"/>
      <c r="G13" s="25" t="s">
        <v>338</v>
      </c>
      <c r="H13" s="28"/>
      <c r="I13" s="5"/>
      <c r="J13" s="5"/>
      <c r="K13" s="5"/>
      <c r="L13" s="5"/>
    </row>
    <row r="14" spans="1:12" ht="57" customHeight="1" x14ac:dyDescent="0.2">
      <c r="A14" s="27"/>
      <c r="B14" s="162" t="s">
        <v>402</v>
      </c>
      <c r="C14" s="162"/>
      <c r="D14" s="162"/>
      <c r="E14" s="162"/>
      <c r="F14" s="162"/>
      <c r="G14" s="25" t="s">
        <v>338</v>
      </c>
      <c r="H14" s="28"/>
      <c r="I14" s="5"/>
      <c r="J14" s="5"/>
      <c r="K14" s="5"/>
      <c r="L14" s="5"/>
    </row>
    <row r="15" spans="1:12" x14ac:dyDescent="0.2">
      <c r="A15" s="27"/>
      <c r="B15" s="27"/>
      <c r="C15" s="28"/>
      <c r="D15" s="28"/>
      <c r="E15" s="28"/>
      <c r="F15" s="28"/>
      <c r="G15" s="28"/>
      <c r="H15" s="28"/>
      <c r="I15" s="5"/>
      <c r="J15" s="5"/>
      <c r="K15" s="5"/>
      <c r="L15" s="5"/>
    </row>
    <row r="16" spans="1:12" x14ac:dyDescent="0.2">
      <c r="B16" s="3"/>
      <c r="C16" s="26"/>
      <c r="D16" s="5"/>
      <c r="E16" s="5"/>
      <c r="F16" s="5"/>
      <c r="G16" s="5"/>
      <c r="H16" s="5"/>
      <c r="I16" s="5"/>
      <c r="J16" s="5"/>
      <c r="K16" s="5"/>
      <c r="L16" s="5"/>
    </row>
    <row r="17" spans="1:11" x14ac:dyDescent="0.2">
      <c r="A17" s="150" t="s">
        <v>192</v>
      </c>
      <c r="B17" s="151"/>
      <c r="C17" s="152"/>
      <c r="D17" s="153"/>
      <c r="E17" s="154"/>
      <c r="F17" s="155" t="s">
        <v>178</v>
      </c>
      <c r="G17" s="156"/>
      <c r="H17" s="157"/>
      <c r="I17" s="152"/>
      <c r="J17" s="153"/>
      <c r="K17" s="158"/>
    </row>
  </sheetData>
  <customSheetViews>
    <customSheetView guid="{D0B43696-C677-428B-89B5-FA762F48CCFE}" showPageBreaks="1" printArea="1" view="pageBreakPreview">
      <selection activeCell="H14" sqref="H14"/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H14" sqref="H14"/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7:B17"/>
    <mergeCell ref="C17:E17"/>
    <mergeCell ref="F17:H17"/>
    <mergeCell ref="I17:K17"/>
    <mergeCell ref="A4:B4"/>
    <mergeCell ref="C4:K4"/>
    <mergeCell ref="B6:L6"/>
    <mergeCell ref="B13:F13"/>
    <mergeCell ref="B14:F14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77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Arkusz26"/>
  <dimension ref="A2:L19"/>
  <sheetViews>
    <sheetView view="pageBreakPreview" topLeftCell="A7" zoomScaleNormal="100" workbookViewId="0">
      <selection activeCell="C19" sqref="C19:E19"/>
    </sheetView>
  </sheetViews>
  <sheetFormatPr defaultRowHeight="12.75" x14ac:dyDescent="0.2"/>
  <cols>
    <col min="1" max="1" width="3.5703125" customWidth="1"/>
    <col min="2" max="2" width="36" customWidth="1"/>
    <col min="3" max="3" width="10" bestFit="1" customWidth="1"/>
    <col min="4" max="4" width="10.85546875" customWidth="1"/>
    <col min="5" max="5" width="11.85546875" customWidth="1"/>
    <col min="6" max="6" width="10.5703125" customWidth="1"/>
    <col min="7" max="7" width="13.42578125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</v>
      </c>
      <c r="C2" s="21">
        <v>25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ht="37.5" customHeight="1" x14ac:dyDescent="0.2">
      <c r="A4" s="143" t="s">
        <v>176</v>
      </c>
      <c r="B4" s="144"/>
      <c r="C4" s="147" t="s">
        <v>514</v>
      </c>
      <c r="D4" s="148"/>
      <c r="E4" s="148"/>
      <c r="F4" s="148"/>
      <c r="G4" s="148"/>
      <c r="H4" s="148"/>
      <c r="I4" s="148"/>
      <c r="J4" s="148"/>
      <c r="K4" s="149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5.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">
      <c r="A9" s="24">
        <v>1</v>
      </c>
      <c r="B9" s="24" t="s">
        <v>485</v>
      </c>
      <c r="C9" s="25">
        <v>74358056</v>
      </c>
      <c r="D9" s="25">
        <v>2011</v>
      </c>
      <c r="E9" s="41">
        <v>44805</v>
      </c>
      <c r="F9" s="25"/>
      <c r="G9" s="25"/>
      <c r="H9" s="25"/>
      <c r="I9" s="5"/>
      <c r="J9" s="5"/>
      <c r="K9" s="5"/>
      <c r="L9" s="5"/>
    </row>
    <row r="10" spans="1:12" x14ac:dyDescent="0.2">
      <c r="A10" s="24">
        <v>2</v>
      </c>
      <c r="B10" s="24" t="s">
        <v>485</v>
      </c>
      <c r="C10" s="25">
        <v>74358057</v>
      </c>
      <c r="D10" s="25">
        <v>2011</v>
      </c>
      <c r="E10" s="41">
        <v>44805</v>
      </c>
      <c r="F10" s="25"/>
      <c r="G10" s="25"/>
      <c r="H10" s="25"/>
      <c r="I10" s="5"/>
      <c r="J10" s="5"/>
      <c r="K10" s="5"/>
      <c r="L10" s="5"/>
    </row>
    <row r="11" spans="1:12" x14ac:dyDescent="0.2">
      <c r="A11" s="24">
        <v>3</v>
      </c>
      <c r="B11" s="24" t="s">
        <v>488</v>
      </c>
      <c r="C11" s="25">
        <v>74329616</v>
      </c>
      <c r="D11" s="25">
        <v>2007</v>
      </c>
      <c r="E11" s="41">
        <v>44805</v>
      </c>
      <c r="F11" s="25"/>
      <c r="G11" s="25"/>
      <c r="H11" s="25"/>
      <c r="I11" s="5"/>
      <c r="J11" s="5"/>
      <c r="K11" s="5"/>
      <c r="L11" s="5"/>
    </row>
    <row r="12" spans="1:12" x14ac:dyDescent="0.2">
      <c r="A12" s="24">
        <v>4</v>
      </c>
      <c r="B12" s="24" t="s">
        <v>486</v>
      </c>
      <c r="C12" s="25">
        <v>40</v>
      </c>
      <c r="D12" s="25">
        <v>2012</v>
      </c>
      <c r="E12" s="41">
        <v>44805</v>
      </c>
      <c r="F12" s="25"/>
      <c r="G12" s="25"/>
      <c r="H12" s="25"/>
      <c r="I12" s="5"/>
      <c r="J12" s="5"/>
      <c r="K12" s="5"/>
      <c r="L12" s="5"/>
    </row>
    <row r="13" spans="1:12" x14ac:dyDescent="0.2">
      <c r="A13" s="24">
        <v>5</v>
      </c>
      <c r="B13" s="24" t="s">
        <v>487</v>
      </c>
      <c r="C13" s="25">
        <v>453525</v>
      </c>
      <c r="D13" s="25">
        <v>2012</v>
      </c>
      <c r="E13" s="41">
        <v>44805</v>
      </c>
      <c r="F13" s="25"/>
      <c r="G13" s="25"/>
      <c r="H13" s="25"/>
      <c r="I13" s="5"/>
      <c r="J13" s="5"/>
      <c r="K13" s="5"/>
      <c r="L13" s="5"/>
    </row>
    <row r="14" spans="1:12" x14ac:dyDescent="0.2">
      <c r="A14" s="24">
        <v>6</v>
      </c>
      <c r="B14" s="24" t="s">
        <v>141</v>
      </c>
      <c r="C14" s="36" t="s">
        <v>142</v>
      </c>
      <c r="D14" s="35">
        <v>2013</v>
      </c>
      <c r="E14" s="41">
        <v>44805</v>
      </c>
      <c r="F14" s="25"/>
      <c r="G14" s="25"/>
      <c r="H14" s="25"/>
      <c r="I14" s="5"/>
      <c r="J14" s="5"/>
      <c r="K14" s="5"/>
      <c r="L14" s="5"/>
    </row>
    <row r="15" spans="1:12" ht="171" customHeight="1" x14ac:dyDescent="0.2">
      <c r="A15" s="27"/>
      <c r="B15" s="170" t="s">
        <v>597</v>
      </c>
      <c r="C15" s="171"/>
      <c r="D15" s="171"/>
      <c r="E15" s="171"/>
      <c r="F15" s="172"/>
      <c r="G15" s="31" t="s">
        <v>338</v>
      </c>
      <c r="H15" s="28"/>
      <c r="I15" s="5"/>
      <c r="J15" s="5"/>
      <c r="K15" s="5"/>
      <c r="L15" s="5"/>
    </row>
    <row r="16" spans="1:12" ht="54" customHeight="1" x14ac:dyDescent="0.2">
      <c r="A16" s="27"/>
      <c r="B16" s="162" t="s">
        <v>402</v>
      </c>
      <c r="C16" s="162"/>
      <c r="D16" s="162"/>
      <c r="E16" s="162"/>
      <c r="F16" s="162"/>
      <c r="G16" s="25" t="s">
        <v>338</v>
      </c>
      <c r="H16" s="28"/>
      <c r="I16" s="5"/>
      <c r="J16" s="5"/>
      <c r="K16" s="5"/>
      <c r="L16" s="5"/>
    </row>
    <row r="17" spans="1:12" x14ac:dyDescent="0.2">
      <c r="A17" s="27"/>
      <c r="B17" s="27"/>
      <c r="C17" s="28"/>
      <c r="D17" s="28"/>
      <c r="E17" s="28"/>
      <c r="F17" s="28"/>
      <c r="G17" s="28"/>
      <c r="H17" s="28"/>
      <c r="I17" s="5"/>
      <c r="J17" s="5"/>
      <c r="K17" s="5"/>
      <c r="L17" s="5"/>
    </row>
    <row r="18" spans="1:12" x14ac:dyDescent="0.2">
      <c r="B18" s="3"/>
      <c r="C18" s="26"/>
      <c r="D18" s="5"/>
      <c r="E18" s="5"/>
      <c r="F18" s="5"/>
      <c r="G18" s="5"/>
      <c r="H18" s="5"/>
      <c r="I18" s="5"/>
      <c r="J18" s="5"/>
      <c r="K18" s="5"/>
      <c r="L18" s="5"/>
    </row>
    <row r="19" spans="1:12" x14ac:dyDescent="0.2">
      <c r="A19" s="150" t="s">
        <v>192</v>
      </c>
      <c r="B19" s="151"/>
      <c r="C19" s="152"/>
      <c r="D19" s="153"/>
      <c r="E19" s="154"/>
      <c r="F19" s="155" t="s">
        <v>178</v>
      </c>
      <c r="G19" s="156"/>
      <c r="H19" s="157"/>
      <c r="I19" s="152"/>
      <c r="J19" s="153"/>
      <c r="K19" s="158"/>
    </row>
  </sheetData>
  <customSheetViews>
    <customSheetView guid="{D0B43696-C677-428B-89B5-FA762F48CCFE}" showPageBreaks="1" printArea="1" view="pageBreakPreview">
      <selection activeCell="B15" sqref="B15:F15"/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B15" sqref="B15:F15"/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9:B19"/>
    <mergeCell ref="C19:E19"/>
    <mergeCell ref="F19:H19"/>
    <mergeCell ref="I19:K19"/>
    <mergeCell ref="A4:B4"/>
    <mergeCell ref="C4:K4"/>
    <mergeCell ref="B6:L6"/>
    <mergeCell ref="B15:F15"/>
    <mergeCell ref="B16:F16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78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Arkusz27"/>
  <dimension ref="A2:L18"/>
  <sheetViews>
    <sheetView view="pageBreakPreview" topLeftCell="A7" zoomScaleNormal="100" workbookViewId="0">
      <selection activeCell="C14" sqref="C14"/>
    </sheetView>
  </sheetViews>
  <sheetFormatPr defaultRowHeight="12.75" x14ac:dyDescent="0.2"/>
  <cols>
    <col min="1" max="1" width="4" customWidth="1"/>
    <col min="2" max="2" width="22.85546875" customWidth="1"/>
    <col min="3" max="3" width="16.5703125" bestFit="1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</v>
      </c>
      <c r="C2" s="21">
        <v>26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43" t="s">
        <v>176</v>
      </c>
      <c r="B4" s="144"/>
      <c r="C4" s="147" t="s">
        <v>615</v>
      </c>
      <c r="D4" s="148"/>
      <c r="E4" s="148"/>
      <c r="F4" s="148"/>
      <c r="G4" s="148"/>
      <c r="H4" s="148"/>
      <c r="I4" s="148"/>
      <c r="J4" s="148"/>
      <c r="K4" s="149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">
      <c r="A9" s="24">
        <v>1</v>
      </c>
      <c r="B9" s="24" t="s">
        <v>432</v>
      </c>
      <c r="C9" s="25">
        <v>1013080210</v>
      </c>
      <c r="D9" s="25">
        <v>2008</v>
      </c>
      <c r="E9" s="90">
        <v>44938</v>
      </c>
      <c r="F9" s="25"/>
      <c r="G9" s="25"/>
      <c r="H9" s="25"/>
      <c r="I9" s="5"/>
      <c r="J9" s="5"/>
      <c r="K9" s="5"/>
      <c r="L9" s="5"/>
    </row>
    <row r="10" spans="1:12" x14ac:dyDescent="0.2">
      <c r="A10" s="24">
        <v>2</v>
      </c>
      <c r="B10" s="24" t="s">
        <v>432</v>
      </c>
      <c r="C10" s="25">
        <v>1013100367</v>
      </c>
      <c r="D10" s="25">
        <v>2010</v>
      </c>
      <c r="E10" s="90">
        <v>44938</v>
      </c>
      <c r="F10" s="25"/>
      <c r="G10" s="25"/>
      <c r="H10" s="25"/>
      <c r="I10" s="5"/>
      <c r="J10" s="5"/>
      <c r="K10" s="5"/>
      <c r="L10" s="5"/>
    </row>
    <row r="11" spans="1:12" x14ac:dyDescent="0.2">
      <c r="A11" s="24">
        <v>3</v>
      </c>
      <c r="B11" s="24" t="s">
        <v>432</v>
      </c>
      <c r="C11" s="25">
        <v>1013100368</v>
      </c>
      <c r="D11" s="25">
        <v>2010</v>
      </c>
      <c r="E11" s="90">
        <v>44938</v>
      </c>
      <c r="F11" s="25"/>
      <c r="G11" s="25"/>
      <c r="H11" s="25"/>
      <c r="I11" s="5"/>
      <c r="J11" s="5"/>
      <c r="K11" s="5"/>
      <c r="L11" s="5"/>
    </row>
    <row r="12" spans="1:12" x14ac:dyDescent="0.2">
      <c r="A12" s="24">
        <v>4</v>
      </c>
      <c r="B12" s="24" t="s">
        <v>433</v>
      </c>
      <c r="C12" s="25" t="s">
        <v>434</v>
      </c>
      <c r="D12" s="25">
        <v>2006</v>
      </c>
      <c r="E12" s="90">
        <v>44938</v>
      </c>
      <c r="F12" s="25"/>
      <c r="G12" s="25"/>
      <c r="H12" s="25"/>
      <c r="I12" s="5"/>
      <c r="J12" s="5"/>
      <c r="K12" s="5"/>
      <c r="L12" s="5"/>
    </row>
    <row r="13" spans="1:12" x14ac:dyDescent="0.2">
      <c r="A13" s="24">
        <v>5</v>
      </c>
      <c r="B13" s="24" t="s">
        <v>435</v>
      </c>
      <c r="C13" s="32" t="s">
        <v>436</v>
      </c>
      <c r="D13" s="25">
        <v>2006</v>
      </c>
      <c r="E13" s="90">
        <v>44938</v>
      </c>
      <c r="F13" s="25"/>
      <c r="G13" s="25"/>
      <c r="H13" s="25"/>
      <c r="I13" s="5"/>
      <c r="J13" s="5"/>
      <c r="K13" s="5"/>
      <c r="L13" s="5"/>
    </row>
    <row r="14" spans="1:12" ht="15" customHeight="1" x14ac:dyDescent="0.2">
      <c r="A14" s="24">
        <v>6</v>
      </c>
      <c r="B14" s="24" t="s">
        <v>166</v>
      </c>
      <c r="C14" s="38" t="s">
        <v>158</v>
      </c>
      <c r="D14" s="25">
        <v>2017</v>
      </c>
      <c r="E14" s="90">
        <v>44938</v>
      </c>
      <c r="F14" s="25"/>
      <c r="G14" s="25"/>
      <c r="H14" s="25"/>
      <c r="I14" s="5"/>
      <c r="J14" s="5"/>
      <c r="K14" s="5"/>
      <c r="L14" s="5"/>
    </row>
    <row r="15" spans="1:12" ht="168.6" customHeight="1" x14ac:dyDescent="0.2">
      <c r="A15" s="27"/>
      <c r="B15" s="165" t="s">
        <v>678</v>
      </c>
      <c r="C15" s="165"/>
      <c r="D15" s="165"/>
      <c r="E15" s="165"/>
      <c r="F15" s="165"/>
      <c r="G15" s="31" t="s">
        <v>338</v>
      </c>
      <c r="H15" s="28"/>
      <c r="I15" s="5"/>
      <c r="J15" s="5"/>
      <c r="K15" s="5"/>
      <c r="L15" s="5"/>
    </row>
    <row r="16" spans="1:12" ht="57" customHeight="1" x14ac:dyDescent="0.2">
      <c r="A16" s="27"/>
      <c r="B16" s="159" t="s">
        <v>402</v>
      </c>
      <c r="C16" s="159"/>
      <c r="D16" s="159"/>
      <c r="E16" s="159"/>
      <c r="F16" s="159"/>
      <c r="G16" s="25" t="s">
        <v>338</v>
      </c>
      <c r="H16" s="28"/>
      <c r="I16" s="5"/>
      <c r="J16" s="5"/>
      <c r="K16" s="5"/>
      <c r="L16" s="5"/>
    </row>
    <row r="17" spans="1:12" x14ac:dyDescent="0.2">
      <c r="B17" s="3"/>
      <c r="C17" s="26"/>
      <c r="D17" s="5"/>
      <c r="E17" s="5"/>
      <c r="F17" s="5"/>
      <c r="G17" s="5"/>
      <c r="H17" s="5"/>
      <c r="I17" s="5"/>
      <c r="J17" s="5"/>
      <c r="K17" s="5"/>
      <c r="L17" s="5"/>
    </row>
    <row r="18" spans="1:12" x14ac:dyDescent="0.2">
      <c r="A18" s="150" t="s">
        <v>192</v>
      </c>
      <c r="B18" s="151"/>
      <c r="C18" s="152"/>
      <c r="D18" s="153"/>
      <c r="E18" s="154"/>
      <c r="F18" s="155" t="s">
        <v>178</v>
      </c>
      <c r="G18" s="156"/>
      <c r="H18" s="157"/>
      <c r="I18" s="152"/>
      <c r="J18" s="153"/>
      <c r="K18" s="158"/>
    </row>
  </sheetData>
  <customSheetViews>
    <customSheetView guid="{D0B43696-C677-428B-89B5-FA762F48CCFE}" showPageBreaks="1" printArea="1" view="pageBreakPreview">
      <selection activeCell="B15" sqref="B15:F15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 topLeftCell="A6">
      <selection activeCell="B17" sqref="B17:F17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8:B18"/>
    <mergeCell ref="C18:E18"/>
    <mergeCell ref="F18:H18"/>
    <mergeCell ref="I18:K18"/>
    <mergeCell ref="A4:B4"/>
    <mergeCell ref="C4:K4"/>
    <mergeCell ref="B6:L6"/>
    <mergeCell ref="B15:F15"/>
    <mergeCell ref="B16:F16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79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Arkusz28"/>
  <dimension ref="A2:L15"/>
  <sheetViews>
    <sheetView view="pageBreakPreview" zoomScaleNormal="100" zoomScaleSheetLayoutView="100" workbookViewId="0">
      <selection activeCell="C15" sqref="C15:E15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5.28515625" customWidth="1"/>
    <col min="12" max="12" width="14" customWidth="1"/>
  </cols>
  <sheetData>
    <row r="2" spans="1:12" x14ac:dyDescent="0.2">
      <c r="B2" s="6" t="s">
        <v>1</v>
      </c>
      <c r="C2" s="21">
        <v>27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43" t="s">
        <v>176</v>
      </c>
      <c r="B4" s="144"/>
      <c r="C4" s="147" t="s">
        <v>530</v>
      </c>
      <c r="D4" s="148"/>
      <c r="E4" s="148"/>
      <c r="F4" s="148"/>
      <c r="G4" s="148"/>
      <c r="H4" s="148"/>
      <c r="I4" s="148"/>
      <c r="J4" s="148"/>
      <c r="K4" s="149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45" t="s">
        <v>676</v>
      </c>
      <c r="C6" s="164"/>
      <c r="D6" s="164"/>
      <c r="E6" s="164"/>
      <c r="F6" s="164"/>
      <c r="G6" s="164"/>
      <c r="H6" s="164"/>
      <c r="I6" s="164"/>
      <c r="J6" s="164"/>
      <c r="K6" s="164"/>
      <c r="L6" s="16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">
      <c r="A9" s="24">
        <v>1</v>
      </c>
      <c r="B9" s="24" t="s">
        <v>330</v>
      </c>
      <c r="C9" s="25">
        <v>30070</v>
      </c>
      <c r="D9" s="25">
        <v>2015</v>
      </c>
      <c r="E9" s="90">
        <v>44896</v>
      </c>
      <c r="F9" s="25"/>
      <c r="G9" s="25"/>
      <c r="H9" s="25"/>
      <c r="I9" s="5"/>
      <c r="J9" s="5"/>
      <c r="K9" s="5"/>
      <c r="L9" s="5"/>
    </row>
    <row r="10" spans="1:12" x14ac:dyDescent="0.2">
      <c r="A10" s="24">
        <v>2</v>
      </c>
      <c r="B10" s="24" t="s">
        <v>331</v>
      </c>
      <c r="C10" s="25">
        <v>5264</v>
      </c>
      <c r="D10" s="25">
        <v>2015</v>
      </c>
      <c r="E10" s="90">
        <v>44897</v>
      </c>
      <c r="F10" s="25"/>
      <c r="G10" s="25"/>
      <c r="H10" s="25"/>
      <c r="I10" s="5"/>
      <c r="J10" s="5"/>
      <c r="K10" s="5"/>
      <c r="L10" s="5"/>
    </row>
    <row r="11" spans="1:12" x14ac:dyDescent="0.2">
      <c r="A11" s="24">
        <v>3</v>
      </c>
      <c r="B11" s="24" t="s">
        <v>446</v>
      </c>
      <c r="C11" s="25">
        <v>1248</v>
      </c>
      <c r="D11" s="25">
        <v>2005</v>
      </c>
      <c r="E11" s="90">
        <v>44729</v>
      </c>
      <c r="F11" s="25"/>
      <c r="G11" s="25"/>
      <c r="H11" s="25"/>
      <c r="I11" s="5"/>
      <c r="J11" s="5"/>
      <c r="K11" s="5"/>
      <c r="L11" s="5"/>
    </row>
    <row r="12" spans="1:12" ht="118.5" customHeight="1" x14ac:dyDescent="0.2">
      <c r="A12" s="27"/>
      <c r="B12" s="159" t="s">
        <v>332</v>
      </c>
      <c r="C12" s="159"/>
      <c r="D12" s="159"/>
      <c r="E12" s="159"/>
      <c r="F12" s="159"/>
      <c r="G12" s="31" t="s">
        <v>338</v>
      </c>
      <c r="H12" s="28"/>
      <c r="I12" s="5"/>
      <c r="J12" s="5"/>
      <c r="K12" s="5"/>
      <c r="L12" s="5"/>
    </row>
    <row r="13" spans="1:12" ht="60" customHeight="1" x14ac:dyDescent="0.2">
      <c r="A13" s="27"/>
      <c r="B13" s="159" t="s">
        <v>402</v>
      </c>
      <c r="C13" s="159"/>
      <c r="D13" s="159"/>
      <c r="E13" s="159"/>
      <c r="F13" s="159"/>
      <c r="G13" s="25" t="s">
        <v>338</v>
      </c>
      <c r="H13" s="28"/>
      <c r="I13" s="5"/>
      <c r="J13" s="5"/>
      <c r="K13" s="5"/>
      <c r="L13" s="5"/>
    </row>
    <row r="14" spans="1:12" x14ac:dyDescent="0.2">
      <c r="B14" s="3"/>
      <c r="C14" s="26"/>
      <c r="D14" s="5"/>
      <c r="E14" s="5"/>
      <c r="F14" s="5"/>
      <c r="G14" s="5"/>
      <c r="H14" s="5"/>
      <c r="I14" s="5"/>
      <c r="J14" s="5"/>
      <c r="K14" s="5"/>
      <c r="L14" s="5"/>
    </row>
    <row r="15" spans="1:12" x14ac:dyDescent="0.2">
      <c r="A15" s="150" t="s">
        <v>192</v>
      </c>
      <c r="B15" s="151"/>
      <c r="C15" s="152"/>
      <c r="D15" s="153"/>
      <c r="E15" s="154"/>
      <c r="F15" s="155" t="s">
        <v>178</v>
      </c>
      <c r="G15" s="156"/>
      <c r="H15" s="157"/>
      <c r="I15" s="152"/>
      <c r="J15" s="153"/>
      <c r="K15" s="158"/>
    </row>
  </sheetData>
  <customSheetViews>
    <customSheetView guid="{D0B43696-C677-428B-89B5-FA762F48CCFE}" showPageBreaks="1" printArea="1" view="pageBreakPreview">
      <selection activeCell="C17" sqref="C17:K17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C17" sqref="C17:K17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5:B15"/>
    <mergeCell ref="C15:E15"/>
    <mergeCell ref="F15:H15"/>
    <mergeCell ref="I15:K15"/>
    <mergeCell ref="A4:B4"/>
    <mergeCell ref="C4:K4"/>
    <mergeCell ref="B12:F12"/>
    <mergeCell ref="B6:K6"/>
    <mergeCell ref="B13:F13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84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  <colBreaks count="1" manualBreakCount="1">
    <brk id="11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Arkusz29"/>
  <dimension ref="A2:L15"/>
  <sheetViews>
    <sheetView view="pageLayout" zoomScaleNormal="100" zoomScaleSheetLayoutView="100" workbookViewId="0">
      <selection activeCell="L1" sqref="L1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6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</v>
      </c>
      <c r="C2" s="21">
        <v>28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43" t="s">
        <v>176</v>
      </c>
      <c r="B4" s="144"/>
      <c r="C4" s="147" t="s">
        <v>349</v>
      </c>
      <c r="D4" s="148"/>
      <c r="E4" s="148"/>
      <c r="F4" s="148"/>
      <c r="G4" s="148"/>
      <c r="H4" s="148"/>
      <c r="I4" s="148"/>
      <c r="J4" s="148"/>
      <c r="K4" s="149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ht="38.25" x14ac:dyDescent="0.2">
      <c r="A9" s="24">
        <v>1</v>
      </c>
      <c r="B9" s="33" t="s">
        <v>448</v>
      </c>
      <c r="C9" s="25" t="s">
        <v>413</v>
      </c>
      <c r="D9" s="25">
        <v>2015</v>
      </c>
      <c r="E9" s="91" t="s">
        <v>679</v>
      </c>
      <c r="F9" s="25"/>
      <c r="G9" s="25"/>
      <c r="H9" s="25"/>
      <c r="I9" s="5"/>
      <c r="J9" s="5"/>
      <c r="K9" s="5"/>
      <c r="L9" s="5"/>
    </row>
    <row r="10" spans="1:12" ht="38.25" x14ac:dyDescent="0.2">
      <c r="A10" s="24">
        <v>2</v>
      </c>
      <c r="B10" s="33" t="s">
        <v>448</v>
      </c>
      <c r="C10" s="25" t="s">
        <v>282</v>
      </c>
      <c r="D10" s="25">
        <v>2009</v>
      </c>
      <c r="E10" s="91" t="s">
        <v>680</v>
      </c>
      <c r="F10" s="25"/>
      <c r="G10" s="25"/>
      <c r="H10" s="25"/>
      <c r="I10" s="5"/>
      <c r="J10" s="5"/>
      <c r="K10" s="5"/>
      <c r="L10" s="5"/>
    </row>
    <row r="11" spans="1:12" ht="25.5" x14ac:dyDescent="0.2">
      <c r="A11" s="24">
        <v>3</v>
      </c>
      <c r="B11" s="33" t="s">
        <v>119</v>
      </c>
      <c r="C11" s="25" t="s">
        <v>136</v>
      </c>
      <c r="D11" s="25">
        <v>2014</v>
      </c>
      <c r="E11" s="90">
        <v>44873</v>
      </c>
      <c r="F11" s="25"/>
      <c r="G11" s="25"/>
      <c r="H11" s="25"/>
      <c r="I11" s="5"/>
      <c r="J11" s="5"/>
      <c r="K11" s="5"/>
      <c r="L11" s="5"/>
    </row>
    <row r="12" spans="1:12" ht="120.75" customHeight="1" x14ac:dyDescent="0.2">
      <c r="A12" s="27"/>
      <c r="B12" s="159" t="s">
        <v>445</v>
      </c>
      <c r="C12" s="159"/>
      <c r="D12" s="159"/>
      <c r="E12" s="159"/>
      <c r="F12" s="159"/>
      <c r="G12" s="31" t="s">
        <v>338</v>
      </c>
      <c r="H12" s="28"/>
      <c r="I12" s="5"/>
      <c r="J12" s="5"/>
      <c r="K12" s="5"/>
      <c r="L12" s="5"/>
    </row>
    <row r="13" spans="1:12" ht="56.25" customHeight="1" x14ac:dyDescent="0.2">
      <c r="A13" s="27"/>
      <c r="B13" s="159" t="s">
        <v>402</v>
      </c>
      <c r="C13" s="159"/>
      <c r="D13" s="159"/>
      <c r="E13" s="159"/>
      <c r="F13" s="159"/>
      <c r="G13" s="25" t="s">
        <v>338</v>
      </c>
      <c r="H13" s="28"/>
      <c r="I13" s="5"/>
      <c r="J13" s="5"/>
      <c r="K13" s="5"/>
      <c r="L13" s="5"/>
    </row>
    <row r="14" spans="1:12" x14ac:dyDescent="0.2">
      <c r="B14" s="3"/>
      <c r="C14" s="26"/>
      <c r="D14" s="5"/>
      <c r="E14" s="5"/>
      <c r="F14" s="5"/>
      <c r="G14" s="5"/>
      <c r="H14" s="5"/>
      <c r="I14" s="5"/>
      <c r="J14" s="5"/>
      <c r="K14" s="5"/>
      <c r="L14" s="5"/>
    </row>
    <row r="15" spans="1:12" x14ac:dyDescent="0.2">
      <c r="A15" s="150" t="s">
        <v>192</v>
      </c>
      <c r="B15" s="151"/>
      <c r="C15" s="152"/>
      <c r="D15" s="153"/>
      <c r="E15" s="154"/>
      <c r="F15" s="155" t="s">
        <v>178</v>
      </c>
      <c r="G15" s="156"/>
      <c r="H15" s="157"/>
      <c r="I15" s="152"/>
      <c r="J15" s="153"/>
      <c r="K15" s="158"/>
    </row>
  </sheetData>
  <customSheetViews>
    <customSheetView guid="{D0B43696-C677-428B-89B5-FA762F48CCFE}" showPageBreaks="1" printArea="1" view="pageBreakPreview">
      <selection activeCell="H12" sqref="H12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H12" sqref="H12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5:B15"/>
    <mergeCell ref="C15:E15"/>
    <mergeCell ref="F15:H15"/>
    <mergeCell ref="I15:K15"/>
    <mergeCell ref="A4:B4"/>
    <mergeCell ref="C4:K4"/>
    <mergeCell ref="B6:L6"/>
    <mergeCell ref="B12:F12"/>
    <mergeCell ref="B13:F13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79" orientation="landscape" r:id="rId3"/>
  <headerFooter alignWithMargins="0">
    <oddHeader>&amp;R&amp;KFF0000Załącznik nr 1a do SWZ (po zmianie)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Arkusz30"/>
  <dimension ref="A2:L16"/>
  <sheetViews>
    <sheetView view="pageBreakPreview" topLeftCell="A7" zoomScaleNormal="100" workbookViewId="0">
      <selection activeCell="C16" sqref="C16:E16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</v>
      </c>
      <c r="C2" s="21">
        <v>29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43" t="s">
        <v>176</v>
      </c>
      <c r="B4" s="144"/>
      <c r="C4" s="147" t="s">
        <v>515</v>
      </c>
      <c r="D4" s="148"/>
      <c r="E4" s="148"/>
      <c r="F4" s="148"/>
      <c r="G4" s="148"/>
      <c r="H4" s="148"/>
      <c r="I4" s="148"/>
      <c r="J4" s="148"/>
      <c r="K4" s="149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ht="25.5" x14ac:dyDescent="0.2">
      <c r="A9" s="24">
        <v>1</v>
      </c>
      <c r="B9" s="30" t="s">
        <v>546</v>
      </c>
      <c r="C9" s="25" t="s">
        <v>543</v>
      </c>
      <c r="D9" s="25">
        <v>2006</v>
      </c>
      <c r="E9" s="41">
        <v>44891</v>
      </c>
      <c r="F9" s="25"/>
      <c r="G9" s="25"/>
      <c r="H9" s="25"/>
      <c r="I9" s="5"/>
      <c r="J9" s="5"/>
      <c r="K9" s="5"/>
      <c r="L9" s="5"/>
    </row>
    <row r="10" spans="1:12" ht="25.5" x14ac:dyDescent="0.2">
      <c r="A10" s="24">
        <v>2</v>
      </c>
      <c r="B10" s="30" t="s">
        <v>546</v>
      </c>
      <c r="C10" s="25" t="s">
        <v>544</v>
      </c>
      <c r="D10" s="25">
        <v>2006</v>
      </c>
      <c r="E10" s="41">
        <v>44891</v>
      </c>
      <c r="F10" s="25"/>
      <c r="G10" s="25"/>
      <c r="H10" s="25"/>
      <c r="I10" s="5"/>
      <c r="J10" s="5"/>
      <c r="K10" s="5"/>
      <c r="L10" s="5"/>
    </row>
    <row r="11" spans="1:12" ht="25.5" x14ac:dyDescent="0.2">
      <c r="A11" s="24">
        <v>3</v>
      </c>
      <c r="B11" s="30" t="s">
        <v>546</v>
      </c>
      <c r="C11" s="25" t="s">
        <v>545</v>
      </c>
      <c r="D11" s="25">
        <v>2007</v>
      </c>
      <c r="E11" s="41">
        <v>44891</v>
      </c>
      <c r="F11" s="25"/>
      <c r="G11" s="25"/>
      <c r="H11" s="25"/>
      <c r="I11" s="5"/>
      <c r="J11" s="5"/>
      <c r="K11" s="5"/>
      <c r="L11" s="5"/>
    </row>
    <row r="12" spans="1:12" ht="25.5" x14ac:dyDescent="0.2">
      <c r="A12" s="24">
        <v>4</v>
      </c>
      <c r="B12" s="30" t="s">
        <v>546</v>
      </c>
      <c r="C12" s="25" t="s">
        <v>409</v>
      </c>
      <c r="D12" s="25">
        <v>2003</v>
      </c>
      <c r="E12" s="41">
        <v>44891</v>
      </c>
      <c r="F12" s="25"/>
      <c r="G12" s="25"/>
      <c r="H12" s="25"/>
      <c r="I12" s="5"/>
      <c r="J12" s="5"/>
      <c r="K12" s="5"/>
      <c r="L12" s="5"/>
    </row>
    <row r="13" spans="1:12" ht="152.25" customHeight="1" x14ac:dyDescent="0.2">
      <c r="A13" s="27"/>
      <c r="B13" s="159" t="s">
        <v>598</v>
      </c>
      <c r="C13" s="159"/>
      <c r="D13" s="159"/>
      <c r="E13" s="159"/>
      <c r="F13" s="159"/>
      <c r="G13" s="31" t="s">
        <v>338</v>
      </c>
      <c r="H13" s="28"/>
      <c r="I13" s="5"/>
      <c r="J13" s="5"/>
      <c r="K13" s="5"/>
      <c r="L13" s="5"/>
    </row>
    <row r="14" spans="1:12" ht="54" customHeight="1" x14ac:dyDescent="0.2">
      <c r="A14" s="27"/>
      <c r="B14" s="159" t="s">
        <v>402</v>
      </c>
      <c r="C14" s="159"/>
      <c r="D14" s="159"/>
      <c r="E14" s="159"/>
      <c r="F14" s="159"/>
      <c r="G14" s="25" t="s">
        <v>338</v>
      </c>
      <c r="H14" s="28"/>
      <c r="I14" s="5"/>
      <c r="J14" s="5"/>
      <c r="K14" s="5"/>
      <c r="L14" s="5"/>
    </row>
    <row r="15" spans="1:12" x14ac:dyDescent="0.2">
      <c r="B15" s="3"/>
      <c r="C15" s="26"/>
      <c r="D15" s="5"/>
      <c r="E15" s="5"/>
      <c r="F15" s="5"/>
      <c r="G15" s="5"/>
      <c r="H15" s="5"/>
      <c r="I15" s="5"/>
      <c r="J15" s="5"/>
      <c r="K15" s="5"/>
      <c r="L15" s="5"/>
    </row>
    <row r="16" spans="1:12" x14ac:dyDescent="0.2">
      <c r="A16" s="150" t="s">
        <v>192</v>
      </c>
      <c r="B16" s="151"/>
      <c r="C16" s="152"/>
      <c r="D16" s="153"/>
      <c r="E16" s="154"/>
      <c r="F16" s="155" t="s">
        <v>178</v>
      </c>
      <c r="G16" s="156"/>
      <c r="H16" s="157"/>
      <c r="I16" s="152"/>
      <c r="J16" s="153"/>
      <c r="K16" s="158"/>
    </row>
  </sheetData>
  <customSheetViews>
    <customSheetView guid="{D0B43696-C677-428B-89B5-FA762F48CCFE}" showPageBreaks="1" printArea="1" view="pageBreakPreview" topLeftCell="A4">
      <selection activeCell="H13" sqref="H13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 topLeftCell="A4">
      <selection activeCell="H13" sqref="H13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6:B16"/>
    <mergeCell ref="C16:E16"/>
    <mergeCell ref="F16:H16"/>
    <mergeCell ref="I16:K16"/>
    <mergeCell ref="A4:B4"/>
    <mergeCell ref="C4:K4"/>
    <mergeCell ref="B6:L6"/>
    <mergeCell ref="B13:F13"/>
    <mergeCell ref="B14:F14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81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Arkusz31"/>
  <dimension ref="A2:L17"/>
  <sheetViews>
    <sheetView view="pageBreakPreview" zoomScaleNormal="100" workbookViewId="0">
      <selection activeCell="C17" sqref="C17:E17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</v>
      </c>
      <c r="C2" s="21">
        <v>30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43" t="s">
        <v>176</v>
      </c>
      <c r="B4" s="144"/>
      <c r="C4" s="147" t="s">
        <v>152</v>
      </c>
      <c r="D4" s="148"/>
      <c r="E4" s="148"/>
      <c r="F4" s="148"/>
      <c r="G4" s="148"/>
      <c r="H4" s="148"/>
      <c r="I4" s="148"/>
      <c r="J4" s="148"/>
      <c r="K4" s="149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">
      <c r="A9" s="24">
        <v>1</v>
      </c>
      <c r="B9" s="24" t="str">
        <f>"MCO-5AC"</f>
        <v>MCO-5AC</v>
      </c>
      <c r="C9" s="25" t="str">
        <f>"16120208"</f>
        <v>16120208</v>
      </c>
      <c r="D9" s="25">
        <v>2017</v>
      </c>
      <c r="E9" s="25" t="str">
        <f>"2022-12-01"</f>
        <v>2022-12-01</v>
      </c>
      <c r="F9" s="25"/>
      <c r="G9" s="25"/>
      <c r="H9" s="25"/>
      <c r="I9" s="5"/>
      <c r="J9" s="5"/>
      <c r="K9" s="5"/>
      <c r="L9" s="5"/>
    </row>
    <row r="10" spans="1:12" x14ac:dyDescent="0.2">
      <c r="A10" s="24">
        <v>2</v>
      </c>
      <c r="B10" s="24" t="str">
        <f>"INCUCEL 55"</f>
        <v>INCUCEL 55</v>
      </c>
      <c r="C10" s="25" t="str">
        <f>"B030946"</f>
        <v>B030946</v>
      </c>
      <c r="D10" s="25">
        <v>2003</v>
      </c>
      <c r="E10" s="41">
        <v>44846</v>
      </c>
      <c r="F10" s="25"/>
      <c r="G10" s="25"/>
      <c r="H10" s="25"/>
      <c r="I10" s="5"/>
      <c r="J10" s="5"/>
      <c r="K10" s="5"/>
      <c r="L10" s="5"/>
    </row>
    <row r="11" spans="1:12" x14ac:dyDescent="0.2">
      <c r="A11" s="24">
        <v>3</v>
      </c>
      <c r="B11" s="24" t="str">
        <f>"Incucell V"</f>
        <v>Incucell V</v>
      </c>
      <c r="C11" s="25" t="str">
        <f>"D 172660"</f>
        <v>D 172660</v>
      </c>
      <c r="D11" s="25">
        <v>2017</v>
      </c>
      <c r="E11" s="25" t="str">
        <f>"2022-12-01"</f>
        <v>2022-12-01</v>
      </c>
      <c r="F11" s="25"/>
      <c r="G11" s="25"/>
      <c r="H11" s="25"/>
      <c r="I11" s="5"/>
      <c r="J11" s="5"/>
      <c r="K11" s="5"/>
      <c r="L11" s="5"/>
    </row>
    <row r="12" spans="1:12" x14ac:dyDescent="0.2">
      <c r="A12" s="24">
        <v>4</v>
      </c>
      <c r="B12" s="24" t="str">
        <f>"Incucell V"</f>
        <v>Incucell V</v>
      </c>
      <c r="C12" s="25" t="str">
        <f>"D 172661"</f>
        <v>D 172661</v>
      </c>
      <c r="D12" s="25">
        <v>2017</v>
      </c>
      <c r="E12" s="25" t="str">
        <f>"2022-12-01"</f>
        <v>2022-12-01</v>
      </c>
      <c r="F12" s="25"/>
      <c r="G12" s="25"/>
      <c r="H12" s="25"/>
      <c r="I12" s="5"/>
      <c r="J12" s="5"/>
      <c r="K12" s="5"/>
      <c r="L12" s="5"/>
    </row>
    <row r="13" spans="1:12" x14ac:dyDescent="0.2">
      <c r="A13" s="24">
        <v>5</v>
      </c>
      <c r="B13" s="42" t="s">
        <v>614</v>
      </c>
      <c r="C13" s="25">
        <v>101791</v>
      </c>
      <c r="D13" s="25">
        <v>2010</v>
      </c>
      <c r="E13" s="41">
        <v>44846</v>
      </c>
      <c r="F13" s="25"/>
      <c r="G13" s="25"/>
      <c r="H13" s="25"/>
      <c r="I13" s="5"/>
      <c r="J13" s="5"/>
      <c r="K13" s="5"/>
      <c r="L13" s="5"/>
    </row>
    <row r="14" spans="1:12" ht="108.75" customHeight="1" x14ac:dyDescent="0.2">
      <c r="A14" s="27"/>
      <c r="B14" s="159" t="s">
        <v>153</v>
      </c>
      <c r="C14" s="159"/>
      <c r="D14" s="159"/>
      <c r="E14" s="159"/>
      <c r="F14" s="159"/>
      <c r="G14" s="31" t="s">
        <v>338</v>
      </c>
      <c r="H14" s="28"/>
      <c r="I14" s="5"/>
      <c r="J14" s="5"/>
      <c r="K14" s="5"/>
      <c r="L14" s="5"/>
    </row>
    <row r="15" spans="1:12" ht="57.75" customHeight="1" x14ac:dyDescent="0.2">
      <c r="A15" s="27"/>
      <c r="B15" s="159" t="s">
        <v>402</v>
      </c>
      <c r="C15" s="159"/>
      <c r="D15" s="159"/>
      <c r="E15" s="159"/>
      <c r="F15" s="159"/>
      <c r="G15" s="25" t="s">
        <v>338</v>
      </c>
      <c r="H15" s="28"/>
      <c r="I15" s="5"/>
      <c r="J15" s="5"/>
      <c r="K15" s="5"/>
      <c r="L15" s="5"/>
    </row>
    <row r="16" spans="1:12" x14ac:dyDescent="0.2">
      <c r="B16" s="3"/>
      <c r="C16" s="26"/>
      <c r="D16" s="5"/>
      <c r="E16" s="5"/>
      <c r="F16" s="5"/>
      <c r="G16" s="5"/>
      <c r="H16" s="5"/>
      <c r="I16" s="5"/>
      <c r="J16" s="5"/>
      <c r="K16" s="5"/>
      <c r="L16" s="5"/>
    </row>
    <row r="17" spans="1:11" x14ac:dyDescent="0.2">
      <c r="A17" s="150" t="s">
        <v>192</v>
      </c>
      <c r="B17" s="151"/>
      <c r="C17" s="152"/>
      <c r="D17" s="153"/>
      <c r="E17" s="154"/>
      <c r="F17" s="155" t="s">
        <v>178</v>
      </c>
      <c r="G17" s="156"/>
      <c r="H17" s="157"/>
      <c r="I17" s="152"/>
      <c r="J17" s="153"/>
      <c r="K17" s="158"/>
    </row>
  </sheetData>
  <customSheetViews>
    <customSheetView guid="{D0B43696-C677-428B-89B5-FA762F48CCFE}" showPageBreaks="1" printArea="1" view="pageBreakPreview">
      <selection activeCell="C22" sqref="C22:E22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 topLeftCell="A7">
      <selection activeCell="H14" sqref="H1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7:B17"/>
    <mergeCell ref="C17:E17"/>
    <mergeCell ref="F17:H17"/>
    <mergeCell ref="I17:K17"/>
    <mergeCell ref="A4:B4"/>
    <mergeCell ref="C4:K4"/>
    <mergeCell ref="B6:L6"/>
    <mergeCell ref="B14:F14"/>
    <mergeCell ref="B15:F15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81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Arkusz32"/>
  <dimension ref="A2:L13"/>
  <sheetViews>
    <sheetView view="pageBreakPreview" zoomScaleNormal="100" workbookViewId="0">
      <selection activeCell="C13" sqref="C13:E13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</v>
      </c>
      <c r="C2" s="21">
        <v>31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43" t="s">
        <v>176</v>
      </c>
      <c r="B4" s="144"/>
      <c r="C4" s="147" t="s">
        <v>516</v>
      </c>
      <c r="D4" s="148"/>
      <c r="E4" s="148"/>
      <c r="F4" s="148"/>
      <c r="G4" s="148"/>
      <c r="H4" s="148"/>
      <c r="I4" s="148"/>
      <c r="J4" s="148"/>
      <c r="K4" s="149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ht="38.25" x14ac:dyDescent="0.2">
      <c r="A9" s="24">
        <v>1</v>
      </c>
      <c r="B9" s="33" t="s">
        <v>489</v>
      </c>
      <c r="C9" s="25" t="s">
        <v>548</v>
      </c>
      <c r="D9" s="25">
        <v>1996</v>
      </c>
      <c r="E9" s="25" t="s">
        <v>619</v>
      </c>
      <c r="F9" s="25"/>
      <c r="G9" s="25"/>
      <c r="H9" s="25"/>
      <c r="I9" s="5"/>
      <c r="J9" s="5"/>
      <c r="K9" s="5"/>
      <c r="L9" s="5"/>
    </row>
    <row r="10" spans="1:12" ht="122.45" customHeight="1" x14ac:dyDescent="0.2">
      <c r="A10" s="27"/>
      <c r="B10" s="159" t="s">
        <v>549</v>
      </c>
      <c r="C10" s="159"/>
      <c r="D10" s="159"/>
      <c r="E10" s="159"/>
      <c r="F10" s="159"/>
      <c r="G10" s="31" t="s">
        <v>338</v>
      </c>
      <c r="H10" s="28"/>
      <c r="I10" s="5"/>
      <c r="J10" s="5"/>
      <c r="K10" s="5"/>
      <c r="L10" s="5"/>
    </row>
    <row r="11" spans="1:12" ht="62.45" customHeight="1" x14ac:dyDescent="0.2">
      <c r="A11" s="27"/>
      <c r="B11" s="159" t="s">
        <v>402</v>
      </c>
      <c r="C11" s="159"/>
      <c r="D11" s="159"/>
      <c r="E11" s="159"/>
      <c r="F11" s="159"/>
      <c r="G11" s="25" t="s">
        <v>338</v>
      </c>
      <c r="H11" s="28"/>
      <c r="I11" s="5"/>
      <c r="J11" s="5"/>
      <c r="K11" s="5"/>
      <c r="L11" s="5"/>
    </row>
    <row r="12" spans="1:12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  <c r="L12" s="5"/>
    </row>
    <row r="13" spans="1:12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</sheetData>
  <customSheetViews>
    <customSheetView guid="{D0B43696-C677-428B-89B5-FA762F48CCFE}" showPageBreaks="1" printArea="1" view="pageBreakPreview">
      <selection activeCell="D20" sqref="D20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 topLeftCell="A7">
      <selection activeCell="H10" sqref="H10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3:B13"/>
    <mergeCell ref="C13:E13"/>
    <mergeCell ref="F13:H13"/>
    <mergeCell ref="I13:K13"/>
    <mergeCell ref="A4:B4"/>
    <mergeCell ref="C4:K4"/>
    <mergeCell ref="B6:L6"/>
    <mergeCell ref="B10:F10"/>
    <mergeCell ref="B11:F11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81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Arkusz33"/>
  <dimension ref="A2:L13"/>
  <sheetViews>
    <sheetView view="pageBreakPreview" zoomScaleNormal="100" workbookViewId="0">
      <selection activeCell="C13" sqref="C13:E13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</v>
      </c>
      <c r="C2" s="21">
        <v>32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43" t="s">
        <v>176</v>
      </c>
      <c r="B4" s="144"/>
      <c r="C4" s="147" t="s">
        <v>517</v>
      </c>
      <c r="D4" s="148"/>
      <c r="E4" s="148"/>
      <c r="F4" s="148"/>
      <c r="G4" s="148"/>
      <c r="H4" s="148"/>
      <c r="I4" s="148"/>
      <c r="J4" s="148"/>
      <c r="K4" s="149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">
      <c r="A9" s="24">
        <v>1</v>
      </c>
      <c r="B9" s="24" t="s">
        <v>550</v>
      </c>
      <c r="C9" s="25">
        <v>99121057</v>
      </c>
      <c r="D9" s="25">
        <v>2006</v>
      </c>
      <c r="E9" s="41">
        <v>44846</v>
      </c>
      <c r="F9" s="25"/>
      <c r="G9" s="25"/>
      <c r="H9" s="25"/>
      <c r="I9" s="5"/>
      <c r="J9" s="5"/>
      <c r="K9" s="5"/>
      <c r="L9" s="5"/>
    </row>
    <row r="10" spans="1:12" ht="111.6" customHeight="1" x14ac:dyDescent="0.2">
      <c r="A10" s="27"/>
      <c r="B10" s="159" t="s">
        <v>175</v>
      </c>
      <c r="C10" s="159"/>
      <c r="D10" s="159"/>
      <c r="E10" s="159"/>
      <c r="F10" s="159"/>
      <c r="G10" s="31" t="s">
        <v>338</v>
      </c>
      <c r="H10" s="28"/>
      <c r="I10" s="5"/>
      <c r="J10" s="5"/>
      <c r="K10" s="5"/>
      <c r="L10" s="5"/>
    </row>
    <row r="11" spans="1:12" ht="84.6" customHeight="1" x14ac:dyDescent="0.2">
      <c r="A11" s="27"/>
      <c r="B11" s="159" t="s">
        <v>172</v>
      </c>
      <c r="C11" s="159"/>
      <c r="D11" s="159"/>
      <c r="E11" s="159"/>
      <c r="F11" s="159"/>
      <c r="G11" s="25" t="s">
        <v>338</v>
      </c>
      <c r="H11" s="28"/>
      <c r="I11" s="5"/>
      <c r="J11" s="5"/>
      <c r="K11" s="5"/>
      <c r="L11" s="5"/>
    </row>
    <row r="12" spans="1:12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  <c r="L12" s="5"/>
    </row>
    <row r="13" spans="1:12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</sheetData>
  <customSheetViews>
    <customSheetView guid="{D0B43696-C677-428B-89B5-FA762F48CCFE}" showPageBreaks="1" printArea="1" view="pageBreakPreview">
      <selection activeCell="B12" sqref="B12:F12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H11" sqref="H11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3:B13"/>
    <mergeCell ref="C13:E13"/>
    <mergeCell ref="F13:H13"/>
    <mergeCell ref="I13:K13"/>
    <mergeCell ref="A4:B4"/>
    <mergeCell ref="C4:K4"/>
    <mergeCell ref="B6:L6"/>
    <mergeCell ref="B10:F10"/>
    <mergeCell ref="B11:F11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81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Arkusz34"/>
  <dimension ref="A2:L17"/>
  <sheetViews>
    <sheetView view="pageBreakPreview" zoomScaleNormal="100" zoomScaleSheetLayoutView="100" workbookViewId="0">
      <selection activeCell="C17" sqref="C17:E17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</v>
      </c>
      <c r="C2" s="21">
        <v>33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43" t="s">
        <v>176</v>
      </c>
      <c r="B4" s="144"/>
      <c r="C4" s="147" t="s">
        <v>518</v>
      </c>
      <c r="D4" s="148"/>
      <c r="E4" s="148"/>
      <c r="F4" s="148"/>
      <c r="G4" s="148"/>
      <c r="H4" s="148"/>
      <c r="I4" s="148"/>
      <c r="J4" s="148"/>
      <c r="K4" s="149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39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">
      <c r="A9" s="24">
        <v>1</v>
      </c>
      <c r="B9" s="24" t="s">
        <v>551</v>
      </c>
      <c r="C9" s="25">
        <v>1004045</v>
      </c>
      <c r="D9" s="25">
        <v>2010</v>
      </c>
      <c r="E9" s="90">
        <v>44894</v>
      </c>
      <c r="F9" s="25"/>
      <c r="G9" s="25"/>
      <c r="H9" s="25"/>
      <c r="I9" s="5"/>
      <c r="J9" s="5"/>
      <c r="K9" s="5"/>
      <c r="L9" s="5"/>
    </row>
    <row r="10" spans="1:12" x14ac:dyDescent="0.2">
      <c r="A10" s="24">
        <v>2</v>
      </c>
      <c r="B10" s="24" t="s">
        <v>551</v>
      </c>
      <c r="C10" s="25">
        <v>1004047</v>
      </c>
      <c r="D10" s="25">
        <v>2010</v>
      </c>
      <c r="E10" s="90">
        <v>44894</v>
      </c>
      <c r="F10" s="25"/>
      <c r="G10" s="25"/>
      <c r="H10" s="25"/>
      <c r="I10" s="5"/>
      <c r="J10" s="5"/>
      <c r="K10" s="5"/>
      <c r="L10" s="5"/>
    </row>
    <row r="11" spans="1:12" x14ac:dyDescent="0.2">
      <c r="A11" s="24">
        <v>3</v>
      </c>
      <c r="B11" s="24" t="s">
        <v>551</v>
      </c>
      <c r="C11" s="25">
        <v>1004041</v>
      </c>
      <c r="D11" s="25">
        <v>2010</v>
      </c>
      <c r="E11" s="90">
        <v>44894</v>
      </c>
      <c r="F11" s="25"/>
      <c r="G11" s="25"/>
      <c r="H11" s="25"/>
      <c r="I11" s="5"/>
      <c r="J11" s="5"/>
      <c r="K11" s="5"/>
      <c r="L11" s="5"/>
    </row>
    <row r="12" spans="1:12" x14ac:dyDescent="0.2">
      <c r="A12" s="24">
        <v>4</v>
      </c>
      <c r="B12" s="24" t="s">
        <v>551</v>
      </c>
      <c r="C12" s="25">
        <v>804061</v>
      </c>
      <c r="D12" s="25">
        <v>2009</v>
      </c>
      <c r="E12" s="90">
        <v>44894</v>
      </c>
      <c r="F12" s="25"/>
      <c r="G12" s="25"/>
      <c r="H12" s="25"/>
      <c r="I12" s="5"/>
      <c r="J12" s="5"/>
      <c r="K12" s="5"/>
      <c r="L12" s="5"/>
    </row>
    <row r="13" spans="1:12" x14ac:dyDescent="0.2">
      <c r="A13" s="24">
        <v>5</v>
      </c>
      <c r="B13" s="24" t="s">
        <v>551</v>
      </c>
      <c r="C13" s="25">
        <v>1004039</v>
      </c>
      <c r="D13" s="25">
        <v>2010</v>
      </c>
      <c r="E13" s="90">
        <v>44894</v>
      </c>
      <c r="F13" s="25"/>
      <c r="G13" s="25"/>
      <c r="H13" s="25"/>
      <c r="I13" s="5"/>
      <c r="J13" s="5"/>
      <c r="K13" s="5"/>
      <c r="L13" s="5"/>
    </row>
    <row r="14" spans="1:12" ht="132.75" customHeight="1" x14ac:dyDescent="0.2">
      <c r="A14" s="27"/>
      <c r="B14" s="159" t="s">
        <v>76</v>
      </c>
      <c r="C14" s="159"/>
      <c r="D14" s="159"/>
      <c r="E14" s="159"/>
      <c r="F14" s="159"/>
      <c r="G14" s="31" t="s">
        <v>338</v>
      </c>
      <c r="H14" s="28"/>
      <c r="I14" s="5"/>
      <c r="J14" s="5"/>
      <c r="K14" s="5"/>
      <c r="L14" s="5"/>
    </row>
    <row r="15" spans="1:12" ht="40.5" customHeight="1" x14ac:dyDescent="0.2">
      <c r="A15" s="27"/>
      <c r="B15" s="159" t="s">
        <v>144</v>
      </c>
      <c r="C15" s="159"/>
      <c r="D15" s="159"/>
      <c r="E15" s="159"/>
      <c r="F15" s="159"/>
      <c r="G15" s="25" t="s">
        <v>338</v>
      </c>
      <c r="H15" s="28"/>
      <c r="I15" s="5"/>
      <c r="J15" s="5"/>
      <c r="K15" s="5"/>
      <c r="L15" s="5"/>
    </row>
    <row r="16" spans="1:12" x14ac:dyDescent="0.2">
      <c r="B16" s="3"/>
      <c r="C16" s="26"/>
      <c r="D16" s="5"/>
      <c r="E16" s="5"/>
      <c r="F16" s="5"/>
      <c r="G16" s="5"/>
      <c r="H16" s="5"/>
      <c r="I16" s="5"/>
      <c r="J16" s="5"/>
      <c r="K16" s="5"/>
      <c r="L16" s="5"/>
    </row>
    <row r="17" spans="1:11" x14ac:dyDescent="0.2">
      <c r="A17" s="150" t="s">
        <v>192</v>
      </c>
      <c r="B17" s="151"/>
      <c r="C17" s="152"/>
      <c r="D17" s="153"/>
      <c r="E17" s="154"/>
      <c r="F17" s="155" t="s">
        <v>178</v>
      </c>
      <c r="G17" s="156"/>
      <c r="H17" s="157"/>
      <c r="I17" s="152"/>
      <c r="J17" s="153"/>
      <c r="K17" s="158"/>
    </row>
  </sheetData>
  <customSheetViews>
    <customSheetView guid="{D0B43696-C677-428B-89B5-FA762F48CCFE}" showPageBreaks="1" printArea="1" view="pageBreakPreview">
      <selection activeCell="H14" sqref="H1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H14" sqref="H1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7:B17"/>
    <mergeCell ref="C17:E17"/>
    <mergeCell ref="F17:H17"/>
    <mergeCell ref="I17:K17"/>
    <mergeCell ref="A4:B4"/>
    <mergeCell ref="C4:K4"/>
    <mergeCell ref="B14:F14"/>
    <mergeCell ref="B6:K6"/>
    <mergeCell ref="B15:F15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84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  <colBreaks count="1" manualBreakCount="1">
    <brk id="11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Arkusz35"/>
  <dimension ref="A2:P20"/>
  <sheetViews>
    <sheetView view="pageBreakPreview" topLeftCell="A4" zoomScaleNormal="100" zoomScaleSheetLayoutView="100" workbookViewId="0">
      <selection activeCell="C13" sqref="C13:E13"/>
    </sheetView>
  </sheetViews>
  <sheetFormatPr defaultRowHeight="12.75" x14ac:dyDescent="0.2"/>
  <cols>
    <col min="1" max="1" width="5.42578125" customWidth="1"/>
    <col min="2" max="2" width="19.42578125" customWidth="1"/>
    <col min="3" max="3" width="10.7109375" customWidth="1"/>
    <col min="4" max="4" width="11.140625" customWidth="1"/>
    <col min="5" max="5" width="16.5703125" customWidth="1"/>
    <col min="6" max="6" width="14.42578125" customWidth="1"/>
    <col min="7" max="7" width="11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</v>
      </c>
      <c r="C2" s="21">
        <v>34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43" t="s">
        <v>176</v>
      </c>
      <c r="B4" s="144"/>
      <c r="C4" s="147" t="s">
        <v>490</v>
      </c>
      <c r="D4" s="148"/>
      <c r="E4" s="148"/>
      <c r="F4" s="148"/>
      <c r="G4" s="148"/>
      <c r="H4" s="148"/>
      <c r="I4" s="148"/>
      <c r="J4" s="148"/>
      <c r="K4" s="149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ht="28.5" customHeight="1" x14ac:dyDescent="0.2">
      <c r="A9" s="24">
        <v>1</v>
      </c>
      <c r="B9" s="33" t="s">
        <v>356</v>
      </c>
      <c r="C9" s="25" t="s">
        <v>357</v>
      </c>
      <c r="D9" s="25">
        <v>2008</v>
      </c>
      <c r="E9" s="25" t="s">
        <v>646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ht="162" customHeight="1" x14ac:dyDescent="0.2">
      <c r="A10" s="27"/>
      <c r="B10" s="159" t="s">
        <v>585</v>
      </c>
      <c r="C10" s="159"/>
      <c r="D10" s="159"/>
      <c r="E10" s="159"/>
      <c r="F10" s="159"/>
      <c r="G10" s="25" t="s">
        <v>338</v>
      </c>
      <c r="H10" s="28"/>
      <c r="I10" s="5"/>
      <c r="J10" s="5"/>
      <c r="K10" s="5"/>
      <c r="L10" s="5"/>
      <c r="M10" s="5"/>
      <c r="N10" s="5"/>
      <c r="O10" s="5"/>
      <c r="P10" s="5"/>
    </row>
    <row r="11" spans="1:16" ht="55.5" customHeight="1" x14ac:dyDescent="0.2">
      <c r="A11" s="27"/>
      <c r="B11" s="159" t="s">
        <v>402</v>
      </c>
      <c r="C11" s="159"/>
      <c r="D11" s="159"/>
      <c r="E11" s="159"/>
      <c r="F11" s="159"/>
      <c r="G11" s="25" t="s">
        <v>338</v>
      </c>
      <c r="H11" s="28"/>
      <c r="I11" s="5"/>
      <c r="J11" s="5"/>
      <c r="K11" s="5"/>
      <c r="L11" s="5"/>
      <c r="M11" s="5"/>
      <c r="N11" s="5"/>
      <c r="O11" s="5"/>
      <c r="P11" s="5"/>
    </row>
    <row r="12" spans="1:16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  <row r="14" spans="1:16" x14ac:dyDescent="0.2">
      <c r="A14" s="7"/>
      <c r="B14" s="10"/>
    </row>
    <row r="15" spans="1:16" x14ac:dyDescent="0.2">
      <c r="A15" s="6"/>
      <c r="B15" s="10"/>
      <c r="C15" s="15"/>
      <c r="D15" s="10"/>
      <c r="E15" s="10"/>
      <c r="F15" s="10"/>
      <c r="G15" s="10"/>
      <c r="H15" s="10"/>
      <c r="I15" s="10"/>
      <c r="J15" s="10"/>
      <c r="K15" s="10"/>
    </row>
    <row r="16" spans="1:16" x14ac:dyDescent="0.2">
      <c r="A16" s="7"/>
      <c r="B16" s="7"/>
      <c r="C16" s="16"/>
    </row>
    <row r="17" spans="9:12" x14ac:dyDescent="0.2">
      <c r="K17" s="4"/>
      <c r="L17" s="4"/>
    </row>
    <row r="18" spans="9:12" x14ac:dyDescent="0.2">
      <c r="K18" s="4"/>
      <c r="L18" s="4"/>
    </row>
    <row r="19" spans="9:12" x14ac:dyDescent="0.2">
      <c r="I19" s="10"/>
      <c r="J19" s="10"/>
      <c r="K19" s="23"/>
      <c r="L19" s="14"/>
    </row>
    <row r="20" spans="9:12" x14ac:dyDescent="0.2">
      <c r="I20" s="14"/>
      <c r="J20" s="14"/>
      <c r="K20" s="14"/>
    </row>
  </sheetData>
  <customSheetViews>
    <customSheetView guid="{D0B43696-C677-428B-89B5-FA762F48CCFE}" showPageBreaks="1" printArea="1" view="pageBreakPreview">
      <selection activeCell="E21" sqref="E21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9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1A0A59C7-6CA7-4317-90A9-40DF16B65ADD}" showPageBreaks="1" printArea="1" view="pageBreakPreview">
      <selection activeCell="E21" sqref="E21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9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13:B13"/>
    <mergeCell ref="C13:E13"/>
    <mergeCell ref="F13:H13"/>
    <mergeCell ref="I13:K13"/>
    <mergeCell ref="B10:F10"/>
    <mergeCell ref="B11:F11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1" orientation="landscape" horizontalDpi="300" verticalDpi="300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Arkusz36">
    <pageSetUpPr fitToPage="1"/>
  </sheetPr>
  <dimension ref="A2:L14"/>
  <sheetViews>
    <sheetView view="pageBreakPreview" topLeftCell="A7" zoomScaleNormal="100" workbookViewId="0">
      <selection activeCell="C14" sqref="C14:E14"/>
    </sheetView>
  </sheetViews>
  <sheetFormatPr defaultRowHeight="12.75" x14ac:dyDescent="0.2"/>
  <cols>
    <col min="2" max="2" width="20.42578125" customWidth="1"/>
    <col min="3" max="3" width="14.28515625" customWidth="1"/>
    <col min="5" max="5" width="14.28515625" customWidth="1"/>
    <col min="6" max="6" width="13.7109375" customWidth="1"/>
    <col min="7" max="7" width="11.85546875" customWidth="1"/>
  </cols>
  <sheetData>
    <row r="2" spans="1:12" x14ac:dyDescent="0.2">
      <c r="B2" s="6" t="s">
        <v>1</v>
      </c>
      <c r="C2" s="21">
        <v>35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43" t="s">
        <v>176</v>
      </c>
      <c r="B4" s="144"/>
      <c r="C4" s="147" t="s">
        <v>542</v>
      </c>
      <c r="D4" s="148"/>
      <c r="E4" s="148"/>
      <c r="F4" s="148"/>
      <c r="G4" s="148"/>
      <c r="H4" s="148"/>
      <c r="I4" s="148"/>
      <c r="J4" s="148"/>
      <c r="K4" s="149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">
      <c r="A9" s="24">
        <v>1</v>
      </c>
      <c r="B9" s="24" t="s">
        <v>547</v>
      </c>
      <c r="C9" s="25">
        <v>9443</v>
      </c>
      <c r="D9" s="25">
        <v>2012</v>
      </c>
      <c r="E9" s="41">
        <v>44890</v>
      </c>
      <c r="F9" s="25"/>
      <c r="G9" s="25"/>
      <c r="H9" s="25"/>
      <c r="I9" s="5"/>
      <c r="J9" s="5"/>
      <c r="K9" s="5"/>
      <c r="L9" s="5"/>
    </row>
    <row r="10" spans="1:12" x14ac:dyDescent="0.2">
      <c r="A10" s="24">
        <v>2</v>
      </c>
      <c r="B10" s="33" t="s">
        <v>143</v>
      </c>
      <c r="C10" s="25">
        <v>6230</v>
      </c>
      <c r="D10" s="25">
        <v>2008</v>
      </c>
      <c r="E10" s="41">
        <v>44891</v>
      </c>
      <c r="F10" s="25"/>
      <c r="G10" s="25"/>
      <c r="H10" s="25"/>
      <c r="I10" s="5"/>
      <c r="J10" s="5"/>
      <c r="K10" s="5"/>
      <c r="L10" s="5"/>
    </row>
    <row r="11" spans="1:12" ht="205.5" customHeight="1" x14ac:dyDescent="0.2">
      <c r="A11" s="27"/>
      <c r="B11" s="165" t="s">
        <v>150</v>
      </c>
      <c r="C11" s="165"/>
      <c r="D11" s="165"/>
      <c r="E11" s="165"/>
      <c r="F11" s="165"/>
      <c r="G11" s="31" t="s">
        <v>338</v>
      </c>
      <c r="H11" s="28"/>
      <c r="I11" s="5"/>
      <c r="J11" s="5"/>
      <c r="K11" s="5"/>
      <c r="L11" s="5"/>
    </row>
    <row r="12" spans="1:12" ht="42" customHeight="1" x14ac:dyDescent="0.2">
      <c r="A12" s="27"/>
      <c r="B12" s="159" t="s">
        <v>144</v>
      </c>
      <c r="C12" s="159"/>
      <c r="D12" s="159"/>
      <c r="E12" s="159"/>
      <c r="F12" s="159"/>
      <c r="G12" s="25" t="s">
        <v>338</v>
      </c>
      <c r="H12" s="28"/>
      <c r="I12" s="5"/>
      <c r="J12" s="5"/>
      <c r="K12" s="5"/>
      <c r="L12" s="5"/>
    </row>
    <row r="13" spans="1:12" x14ac:dyDescent="0.2">
      <c r="B13" s="3"/>
      <c r="C13" s="26"/>
      <c r="D13" s="5"/>
      <c r="E13" s="5"/>
      <c r="F13" s="5"/>
      <c r="G13" s="5"/>
      <c r="H13" s="5"/>
      <c r="I13" s="5"/>
      <c r="J13" s="5"/>
      <c r="K13" s="5"/>
      <c r="L13" s="5"/>
    </row>
    <row r="14" spans="1:12" x14ac:dyDescent="0.2">
      <c r="A14" s="150" t="s">
        <v>192</v>
      </c>
      <c r="B14" s="151"/>
      <c r="C14" s="152"/>
      <c r="D14" s="153"/>
      <c r="E14" s="154"/>
      <c r="F14" s="155" t="s">
        <v>178</v>
      </c>
      <c r="G14" s="156"/>
      <c r="H14" s="157"/>
      <c r="I14" s="152"/>
      <c r="J14" s="153"/>
      <c r="K14" s="158"/>
    </row>
  </sheetData>
  <customSheetViews>
    <customSheetView guid="{D0B43696-C677-428B-89B5-FA762F48CCFE}" showPageBreaks="1" fitToPage="1" view="pageBreakPreview">
      <selection activeCell="I11" sqref="I11"/>
      <pageMargins left="0.75" right="0.75" top="1" bottom="1" header="0.5" footer="0.5"/>
      <pageSetup paperSize="9" scale="95" orientation="landscape" r:id="rId1"/>
      <headerFooter alignWithMargins="0"/>
    </customSheetView>
    <customSheetView guid="{1A0A59C7-6CA7-4317-90A9-40DF16B65ADD}" showPageBreaks="1" fitToPage="1" view="pageBreakPreview">
      <selection activeCell="I11" sqref="I11"/>
      <pageMargins left="0.75" right="0.75" top="1" bottom="1" header="0.5" footer="0.5"/>
      <pageSetup paperSize="9" scale="95" orientation="landscape" r:id="rId2"/>
      <headerFooter alignWithMargins="0"/>
    </customSheetView>
  </customSheetViews>
  <mergeCells count="9">
    <mergeCell ref="A14:B14"/>
    <mergeCell ref="C14:E14"/>
    <mergeCell ref="F14:H14"/>
    <mergeCell ref="I14:K14"/>
    <mergeCell ref="A4:B4"/>
    <mergeCell ref="C4:K4"/>
    <mergeCell ref="B6:L6"/>
    <mergeCell ref="B11:F11"/>
    <mergeCell ref="B12:F12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95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Arkusz37">
    <pageSetUpPr fitToPage="1"/>
  </sheetPr>
  <dimension ref="A2:L14"/>
  <sheetViews>
    <sheetView view="pageBreakPreview" zoomScaleNormal="100" workbookViewId="0">
      <selection activeCell="C14" sqref="C14:E14"/>
    </sheetView>
  </sheetViews>
  <sheetFormatPr defaultRowHeight="12.75" x14ac:dyDescent="0.2"/>
  <cols>
    <col min="2" max="2" width="25.7109375" customWidth="1"/>
    <col min="3" max="3" width="14.7109375" customWidth="1"/>
    <col min="5" max="5" width="14.42578125" customWidth="1"/>
  </cols>
  <sheetData>
    <row r="2" spans="1:12" x14ac:dyDescent="0.2">
      <c r="B2" s="6" t="s">
        <v>1</v>
      </c>
      <c r="C2" s="21">
        <v>36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43" t="s">
        <v>176</v>
      </c>
      <c r="B4" s="144"/>
      <c r="C4" s="147" t="s">
        <v>519</v>
      </c>
      <c r="D4" s="148"/>
      <c r="E4" s="148"/>
      <c r="F4" s="148"/>
      <c r="G4" s="148"/>
      <c r="H4" s="148"/>
      <c r="I4" s="148"/>
      <c r="J4" s="148"/>
      <c r="K4" s="149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">
      <c r="A9" s="24">
        <v>1</v>
      </c>
      <c r="B9" s="24" t="s">
        <v>145</v>
      </c>
      <c r="C9" s="25">
        <v>70062</v>
      </c>
      <c r="D9" s="25">
        <v>2011</v>
      </c>
      <c r="E9" s="41">
        <v>44741</v>
      </c>
      <c r="F9" s="25"/>
      <c r="G9" s="25"/>
      <c r="H9" s="25"/>
      <c r="I9" s="5"/>
      <c r="J9" s="5"/>
      <c r="K9" s="5"/>
      <c r="L9" s="5"/>
    </row>
    <row r="10" spans="1:12" x14ac:dyDescent="0.2">
      <c r="A10" s="24">
        <v>2</v>
      </c>
      <c r="B10" s="33" t="s">
        <v>146</v>
      </c>
      <c r="C10" s="25" t="s">
        <v>148</v>
      </c>
      <c r="D10" s="25">
        <v>2013</v>
      </c>
      <c r="E10" s="41">
        <v>44741</v>
      </c>
      <c r="F10" s="25"/>
      <c r="G10" s="25"/>
      <c r="H10" s="25"/>
      <c r="I10" s="5"/>
      <c r="J10" s="5"/>
      <c r="K10" s="5"/>
      <c r="L10" s="5"/>
    </row>
    <row r="11" spans="1:12" ht="71.25" customHeight="1" x14ac:dyDescent="0.2">
      <c r="A11" s="27"/>
      <c r="B11" s="159" t="s">
        <v>147</v>
      </c>
      <c r="C11" s="159"/>
      <c r="D11" s="159"/>
      <c r="E11" s="159"/>
      <c r="F11" s="159"/>
      <c r="G11" s="25" t="s">
        <v>338</v>
      </c>
      <c r="H11" s="28"/>
      <c r="I11" s="5"/>
      <c r="J11" s="5"/>
      <c r="K11" s="5"/>
      <c r="L11" s="5"/>
    </row>
    <row r="12" spans="1:12" ht="56.25" customHeight="1" x14ac:dyDescent="0.2">
      <c r="A12" s="27"/>
      <c r="B12" s="159" t="s">
        <v>149</v>
      </c>
      <c r="C12" s="159"/>
      <c r="D12" s="159"/>
      <c r="E12" s="159"/>
      <c r="F12" s="159"/>
      <c r="G12" s="25" t="s">
        <v>338</v>
      </c>
      <c r="H12" s="28"/>
      <c r="I12" s="5"/>
      <c r="J12" s="5"/>
      <c r="K12" s="5"/>
      <c r="L12" s="5"/>
    </row>
    <row r="13" spans="1:12" x14ac:dyDescent="0.2">
      <c r="B13" s="3"/>
      <c r="C13" s="26"/>
      <c r="D13" s="5"/>
      <c r="E13" s="5"/>
      <c r="F13" s="5"/>
      <c r="G13" s="5"/>
      <c r="H13" s="5"/>
      <c r="I13" s="5"/>
      <c r="J13" s="5"/>
      <c r="K13" s="5"/>
      <c r="L13" s="5"/>
    </row>
    <row r="14" spans="1:12" x14ac:dyDescent="0.2">
      <c r="A14" s="150" t="s">
        <v>192</v>
      </c>
      <c r="B14" s="151"/>
      <c r="C14" s="152"/>
      <c r="D14" s="153"/>
      <c r="E14" s="154"/>
      <c r="F14" s="155" t="s">
        <v>178</v>
      </c>
      <c r="G14" s="156"/>
      <c r="H14" s="157"/>
      <c r="I14" s="152"/>
      <c r="J14" s="153"/>
      <c r="K14" s="158"/>
    </row>
  </sheetData>
  <customSheetViews>
    <customSheetView guid="{D0B43696-C677-428B-89B5-FA762F48CCFE}" showPageBreaks="1" fitToPage="1" view="pageBreakPreview">
      <selection activeCell="B13" sqref="B13:F13"/>
      <pageMargins left="0.75" right="0.75" top="1" bottom="1" header="0.5" footer="0.5"/>
      <pageSetup paperSize="9" scale="96" orientation="landscape" r:id="rId1"/>
      <headerFooter alignWithMargins="0"/>
    </customSheetView>
    <customSheetView guid="{1A0A59C7-6CA7-4317-90A9-40DF16B65ADD}" showPageBreaks="1" fitToPage="1" view="pageBreakPreview">
      <selection activeCell="B13" sqref="B13:F13"/>
      <pageMargins left="0.75" right="0.75" top="1" bottom="1" header="0.5" footer="0.5"/>
      <pageSetup paperSize="9" scale="96" orientation="landscape" r:id="rId2"/>
      <headerFooter alignWithMargins="0"/>
    </customSheetView>
  </customSheetViews>
  <mergeCells count="9">
    <mergeCell ref="A14:B14"/>
    <mergeCell ref="C14:E14"/>
    <mergeCell ref="F14:H14"/>
    <mergeCell ref="I14:K14"/>
    <mergeCell ref="A4:B4"/>
    <mergeCell ref="C4:K4"/>
    <mergeCell ref="B6:L6"/>
    <mergeCell ref="B11:F11"/>
    <mergeCell ref="B12:F12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96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Arkusz38">
    <pageSetUpPr fitToPage="1"/>
  </sheetPr>
  <dimension ref="A2:L13"/>
  <sheetViews>
    <sheetView view="pageBreakPreview" zoomScaleNormal="100" workbookViewId="0">
      <selection activeCell="C13" sqref="C13:E13"/>
    </sheetView>
  </sheetViews>
  <sheetFormatPr defaultRowHeight="12.75" x14ac:dyDescent="0.2"/>
  <cols>
    <col min="2" max="2" width="30.85546875" customWidth="1"/>
    <col min="3" max="3" width="14.140625" customWidth="1"/>
    <col min="5" max="5" width="12.42578125" customWidth="1"/>
  </cols>
  <sheetData>
    <row r="2" spans="1:12" x14ac:dyDescent="0.2">
      <c r="B2" s="6" t="s">
        <v>1</v>
      </c>
      <c r="C2" s="21">
        <v>37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43" t="s">
        <v>176</v>
      </c>
      <c r="B4" s="144"/>
      <c r="C4" s="147" t="s">
        <v>520</v>
      </c>
      <c r="D4" s="148"/>
      <c r="E4" s="148"/>
      <c r="F4" s="148"/>
      <c r="G4" s="148"/>
      <c r="H4" s="148"/>
      <c r="I4" s="148"/>
      <c r="J4" s="148"/>
      <c r="K4" s="149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">
      <c r="A9" s="24">
        <v>1</v>
      </c>
      <c r="B9" s="24" t="s">
        <v>139</v>
      </c>
      <c r="C9" s="25">
        <v>2552</v>
      </c>
      <c r="D9" s="25">
        <v>2009</v>
      </c>
      <c r="E9" s="41">
        <v>44834</v>
      </c>
      <c r="F9" s="25"/>
      <c r="G9" s="25"/>
      <c r="H9" s="25"/>
      <c r="I9" s="5"/>
      <c r="J9" s="5"/>
      <c r="K9" s="5"/>
      <c r="L9" s="5"/>
    </row>
    <row r="10" spans="1:12" ht="42" customHeight="1" x14ac:dyDescent="0.2">
      <c r="A10" s="27"/>
      <c r="B10" s="159" t="s">
        <v>140</v>
      </c>
      <c r="C10" s="159"/>
      <c r="D10" s="159"/>
      <c r="E10" s="159"/>
      <c r="F10" s="159"/>
      <c r="G10" s="25" t="s">
        <v>338</v>
      </c>
      <c r="H10" s="28"/>
      <c r="I10" s="5"/>
      <c r="J10" s="5"/>
      <c r="K10" s="5"/>
      <c r="L10" s="5"/>
    </row>
    <row r="11" spans="1:12" ht="53.25" customHeight="1" x14ac:dyDescent="0.2">
      <c r="A11" s="27"/>
      <c r="B11" s="159" t="s">
        <v>149</v>
      </c>
      <c r="C11" s="159"/>
      <c r="D11" s="159"/>
      <c r="E11" s="159"/>
      <c r="F11" s="159"/>
      <c r="G11" s="25" t="s">
        <v>338</v>
      </c>
      <c r="H11" s="28"/>
      <c r="I11" s="5"/>
      <c r="J11" s="5"/>
      <c r="K11" s="5"/>
      <c r="L11" s="5"/>
    </row>
    <row r="12" spans="1:12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  <c r="L12" s="5"/>
    </row>
    <row r="13" spans="1:12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</sheetData>
  <customSheetViews>
    <customSheetView guid="{D0B43696-C677-428B-89B5-FA762F48CCFE}" showPageBreaks="1" fitToPage="1" view="pageBreakPreview">
      <selection activeCell="H10" sqref="H10"/>
      <pageMargins left="0.75" right="0.75" top="1" bottom="1" header="0.5" footer="0.5"/>
      <pageSetup paperSize="9" scale="94" orientation="landscape" r:id="rId1"/>
      <headerFooter alignWithMargins="0"/>
    </customSheetView>
    <customSheetView guid="{1A0A59C7-6CA7-4317-90A9-40DF16B65ADD}" showPageBreaks="1" fitToPage="1" view="pageBreakPreview">
      <selection activeCell="H10" sqref="H10"/>
      <pageMargins left="0.75" right="0.75" top="1" bottom="1" header="0.5" footer="0.5"/>
      <pageSetup paperSize="9" scale="94" orientation="landscape" r:id="rId2"/>
      <headerFooter alignWithMargins="0"/>
    </customSheetView>
  </customSheetViews>
  <mergeCells count="9">
    <mergeCell ref="A13:B13"/>
    <mergeCell ref="C13:E13"/>
    <mergeCell ref="F13:H13"/>
    <mergeCell ref="I13:K13"/>
    <mergeCell ref="A4:B4"/>
    <mergeCell ref="C4:K4"/>
    <mergeCell ref="B6:L6"/>
    <mergeCell ref="B10:F10"/>
    <mergeCell ref="B11:F11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95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Arkusz39"/>
  <dimension ref="A2:L14"/>
  <sheetViews>
    <sheetView view="pageBreakPreview" topLeftCell="A10" zoomScaleNormal="100" zoomScaleSheetLayoutView="100" workbookViewId="0">
      <selection activeCell="C14" sqref="C14:E14"/>
    </sheetView>
  </sheetViews>
  <sheetFormatPr defaultRowHeight="12.75" x14ac:dyDescent="0.2"/>
  <cols>
    <col min="2" max="2" width="18.140625" bestFit="1" customWidth="1"/>
    <col min="3" max="3" width="13.85546875" customWidth="1"/>
    <col min="5" max="5" width="21.85546875" customWidth="1"/>
    <col min="6" max="6" width="10.5703125" customWidth="1"/>
    <col min="7" max="8" width="10.7109375" customWidth="1"/>
  </cols>
  <sheetData>
    <row r="2" spans="1:12" x14ac:dyDescent="0.2">
      <c r="B2" s="6" t="s">
        <v>1</v>
      </c>
      <c r="C2" s="21">
        <v>38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43" t="s">
        <v>176</v>
      </c>
      <c r="B4" s="144"/>
      <c r="C4" s="147" t="s">
        <v>333</v>
      </c>
      <c r="D4" s="148"/>
      <c r="E4" s="148"/>
      <c r="F4" s="148"/>
      <c r="G4" s="148"/>
      <c r="H4" s="148"/>
      <c r="I4" s="148"/>
      <c r="J4" s="148"/>
      <c r="K4" s="149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  <c r="L6" s="39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ht="25.5" x14ac:dyDescent="0.2">
      <c r="A9" s="24">
        <v>1</v>
      </c>
      <c r="B9" s="30" t="s">
        <v>283</v>
      </c>
      <c r="C9" s="25" t="s">
        <v>284</v>
      </c>
      <c r="D9" s="25">
        <v>2017</v>
      </c>
      <c r="E9" s="41">
        <v>44939</v>
      </c>
      <c r="F9" s="25"/>
      <c r="G9" s="25"/>
      <c r="H9" s="25"/>
      <c r="I9" s="5"/>
      <c r="J9" s="5"/>
      <c r="K9" s="5"/>
      <c r="L9" s="5"/>
    </row>
    <row r="10" spans="1:12" s="40" customFormat="1" ht="25.5" x14ac:dyDescent="0.2">
      <c r="A10" s="33">
        <v>2</v>
      </c>
      <c r="B10" s="33" t="s">
        <v>447</v>
      </c>
      <c r="C10" s="25">
        <v>10161</v>
      </c>
      <c r="D10" s="25">
        <v>2009</v>
      </c>
      <c r="E10" s="25" t="s">
        <v>644</v>
      </c>
      <c r="F10" s="25"/>
      <c r="G10" s="25"/>
      <c r="H10" s="25"/>
      <c r="I10" s="5"/>
      <c r="J10" s="5"/>
      <c r="K10" s="5"/>
      <c r="L10" s="5"/>
    </row>
    <row r="11" spans="1:12" ht="133.5" customHeight="1" x14ac:dyDescent="0.2">
      <c r="A11" s="27"/>
      <c r="B11" s="159" t="s">
        <v>334</v>
      </c>
      <c r="C11" s="159"/>
      <c r="D11" s="159"/>
      <c r="E11" s="159"/>
      <c r="F11" s="159"/>
      <c r="G11" s="31" t="s">
        <v>338</v>
      </c>
      <c r="H11" s="28"/>
      <c r="I11" s="5"/>
      <c r="J11" s="5"/>
      <c r="K11" s="5"/>
      <c r="L11" s="5"/>
    </row>
    <row r="12" spans="1:12" ht="104.25" customHeight="1" x14ac:dyDescent="0.2">
      <c r="A12" s="27"/>
      <c r="B12" s="162" t="s">
        <v>408</v>
      </c>
      <c r="C12" s="162"/>
      <c r="D12" s="162"/>
      <c r="E12" s="162"/>
      <c r="F12" s="162"/>
      <c r="G12" s="25" t="s">
        <v>338</v>
      </c>
      <c r="H12" s="28"/>
      <c r="I12" s="5"/>
      <c r="J12" s="5"/>
      <c r="K12" s="5"/>
      <c r="L12" s="5"/>
    </row>
    <row r="13" spans="1:12" x14ac:dyDescent="0.2">
      <c r="B13" s="3"/>
      <c r="C13" s="26"/>
      <c r="D13" s="5"/>
      <c r="E13" s="5"/>
      <c r="F13" s="5"/>
      <c r="G13" s="5"/>
      <c r="H13" s="5"/>
      <c r="I13" s="5"/>
      <c r="J13" s="5"/>
      <c r="K13" s="5"/>
      <c r="L13" s="5"/>
    </row>
    <row r="14" spans="1:12" x14ac:dyDescent="0.2">
      <c r="A14" s="150" t="s">
        <v>192</v>
      </c>
      <c r="B14" s="151"/>
      <c r="C14" s="152"/>
      <c r="D14" s="153"/>
      <c r="E14" s="154"/>
      <c r="F14" s="155" t="s">
        <v>178</v>
      </c>
      <c r="G14" s="156"/>
      <c r="H14" s="157"/>
      <c r="I14" s="152"/>
      <c r="J14" s="153"/>
      <c r="K14" s="158"/>
    </row>
  </sheetData>
  <customSheetViews>
    <customSheetView guid="{D0B43696-C677-428B-89B5-FA762F48CCFE}" showPageBreaks="1" printArea="1" view="pageBreakPreview">
      <selection activeCell="B13" sqref="B13:F13"/>
      <colBreaks count="1" manualBreakCount="1">
        <brk id="11" max="1048575" man="1"/>
      </colBreaks>
      <pageMargins left="0.75" right="0.75" top="1" bottom="1" header="0.5" footer="0.5"/>
      <pageSetup paperSize="9" scale="66" orientation="portrait" r:id="rId1"/>
      <headerFooter alignWithMargins="0"/>
    </customSheetView>
    <customSheetView guid="{1A0A59C7-6CA7-4317-90A9-40DF16B65ADD}" showPageBreaks="1" printArea="1" view="pageBreakPreview">
      <selection activeCell="B13" sqref="B13:F13"/>
      <colBreaks count="1" manualBreakCount="1">
        <brk id="11" max="1048575" man="1"/>
      </colBreaks>
      <pageMargins left="0.75" right="0.75" top="1" bottom="1" header="0.5" footer="0.5"/>
      <pageSetup paperSize="9" scale="66" orientation="portrait" r:id="rId2"/>
      <headerFooter alignWithMargins="0"/>
    </customSheetView>
  </customSheetViews>
  <mergeCells count="9">
    <mergeCell ref="A4:B4"/>
    <mergeCell ref="C4:K4"/>
    <mergeCell ref="B11:F11"/>
    <mergeCell ref="I14:K14"/>
    <mergeCell ref="B6:K6"/>
    <mergeCell ref="B12:F12"/>
    <mergeCell ref="A14:B14"/>
    <mergeCell ref="C14:E14"/>
    <mergeCell ref="F14:H14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66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  <colBreaks count="1" manualBreakCount="1">
    <brk id="11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Arkusz40"/>
  <dimension ref="A2:K13"/>
  <sheetViews>
    <sheetView view="pageBreakPreview" zoomScaleNormal="100" workbookViewId="0">
      <selection activeCell="C13" sqref="C13:E13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5.28515625" customWidth="1"/>
  </cols>
  <sheetData>
    <row r="2" spans="1:11" x14ac:dyDescent="0.2">
      <c r="B2" s="6" t="s">
        <v>1</v>
      </c>
      <c r="C2" s="21">
        <v>39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521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4"/>
      <c r="D6" s="164"/>
      <c r="E6" s="164"/>
      <c r="F6" s="164"/>
      <c r="G6" s="164"/>
      <c r="H6" s="164"/>
      <c r="I6" s="164"/>
      <c r="J6" s="164"/>
      <c r="K6" s="16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24">
        <v>1</v>
      </c>
      <c r="B9" s="24" t="s">
        <v>452</v>
      </c>
      <c r="C9" s="25">
        <v>20515</v>
      </c>
      <c r="D9" s="25">
        <v>2014</v>
      </c>
      <c r="E9" s="41">
        <v>44894</v>
      </c>
      <c r="F9" s="25"/>
      <c r="G9" s="25"/>
      <c r="H9" s="25"/>
      <c r="I9" s="5"/>
      <c r="J9" s="5"/>
      <c r="K9" s="5"/>
    </row>
    <row r="10" spans="1:11" ht="147" customHeight="1" x14ac:dyDescent="0.2">
      <c r="A10" s="27"/>
      <c r="B10" s="159" t="s">
        <v>453</v>
      </c>
      <c r="C10" s="159"/>
      <c r="D10" s="159"/>
      <c r="E10" s="159"/>
      <c r="F10" s="159"/>
      <c r="G10" s="31" t="s">
        <v>338</v>
      </c>
      <c r="H10" s="28"/>
      <c r="I10" s="5"/>
      <c r="J10" s="5"/>
      <c r="K10" s="5"/>
    </row>
    <row r="11" spans="1:11" ht="53.25" customHeight="1" x14ac:dyDescent="0.2">
      <c r="A11" s="27"/>
      <c r="B11" s="159" t="s">
        <v>402</v>
      </c>
      <c r="C11" s="159"/>
      <c r="D11" s="159"/>
      <c r="E11" s="159"/>
      <c r="F11" s="159"/>
      <c r="G11" s="25" t="s">
        <v>338</v>
      </c>
      <c r="H11" s="28"/>
      <c r="I11" s="5"/>
      <c r="J11" s="5"/>
      <c r="K11" s="5"/>
    </row>
    <row r="12" spans="1:11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</sheetData>
  <customSheetViews>
    <customSheetView guid="{D0B43696-C677-428B-89B5-FA762F48CCFE}" showPageBreaks="1" view="pageBreakPreview">
      <selection activeCell="H10" sqref="H10"/>
      <pageMargins left="0.75" right="0.75" top="1" bottom="1" header="0.5" footer="0.5"/>
      <pageSetup paperSize="9" scale="59" orientation="portrait" r:id="rId1"/>
      <headerFooter alignWithMargins="0"/>
    </customSheetView>
    <customSheetView guid="{1A0A59C7-6CA7-4317-90A9-40DF16B65ADD}" showPageBreaks="1" view="pageBreakPreview">
      <selection activeCell="H10" sqref="H10"/>
      <pageMargins left="0.75" right="0.75" top="1" bottom="1" header="0.5" footer="0.5"/>
      <pageSetup paperSize="9" scale="59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9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Arkusz41"/>
  <dimension ref="A2:K13"/>
  <sheetViews>
    <sheetView view="pageBreakPreview" zoomScaleNormal="100" workbookViewId="0">
      <selection activeCell="C13" sqref="C13:E13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40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586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24">
        <v>1</v>
      </c>
      <c r="B9" s="24" t="s">
        <v>454</v>
      </c>
      <c r="C9" s="25" t="s">
        <v>455</v>
      </c>
      <c r="D9" s="25">
        <v>2014</v>
      </c>
      <c r="E9" s="41">
        <v>44898</v>
      </c>
      <c r="F9" s="25"/>
      <c r="G9" s="25"/>
      <c r="H9" s="25"/>
      <c r="I9" s="5"/>
      <c r="J9" s="5"/>
      <c r="K9" s="5"/>
    </row>
    <row r="10" spans="1:11" ht="129.75" customHeight="1" x14ac:dyDescent="0.2">
      <c r="A10" s="27"/>
      <c r="B10" s="159" t="s">
        <v>76</v>
      </c>
      <c r="C10" s="159"/>
      <c r="D10" s="159"/>
      <c r="E10" s="159"/>
      <c r="F10" s="159"/>
      <c r="G10" s="31" t="s">
        <v>338</v>
      </c>
      <c r="H10" s="28"/>
      <c r="I10" s="5"/>
      <c r="J10" s="5"/>
      <c r="K10" s="5"/>
    </row>
    <row r="11" spans="1:11" ht="39" customHeight="1" x14ac:dyDescent="0.2">
      <c r="A11" s="27"/>
      <c r="B11" s="159" t="s">
        <v>144</v>
      </c>
      <c r="C11" s="159"/>
      <c r="D11" s="159"/>
      <c r="E11" s="159"/>
      <c r="F11" s="159"/>
      <c r="G11" s="25" t="s">
        <v>338</v>
      </c>
      <c r="H11" s="28"/>
      <c r="I11" s="5"/>
      <c r="J11" s="5"/>
      <c r="K11" s="5"/>
    </row>
    <row r="12" spans="1:11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</sheetData>
  <customSheetViews>
    <customSheetView guid="{D0B43696-C677-428B-89B5-FA762F48CCFE}" showPageBreaks="1" view="pageBreakPreview">
      <selection activeCell="J10" sqref="J10"/>
      <pageMargins left="0.75" right="0.75" top="1" bottom="1" header="0.5" footer="0.5"/>
      <pageSetup paperSize="9" scale="58" orientation="portrait" r:id="rId1"/>
      <headerFooter alignWithMargins="0"/>
    </customSheetView>
    <customSheetView guid="{1A0A59C7-6CA7-4317-90A9-40DF16B65ADD}" showPageBreaks="1" view="pageBreakPreview">
      <selection activeCell="J10" sqref="J10"/>
      <pageMargins left="0.75" right="0.75" top="1" bottom="1" header="0.5" footer="0.5"/>
      <pageSetup paperSize="9" scale="58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8" orientation="portrait" r:id="rId3"/>
  <headerFooter alignWithMargins="0">
    <oddHeader>&amp;RZałączik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Arkusz42"/>
  <dimension ref="A2:K13"/>
  <sheetViews>
    <sheetView view="pageBreakPreview" zoomScaleNormal="100" zoomScaleSheetLayoutView="100" workbookViewId="0">
      <selection activeCell="C13" sqref="C13:E13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41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414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24">
        <v>1</v>
      </c>
      <c r="B9" s="24" t="s">
        <v>415</v>
      </c>
      <c r="C9" s="25" t="s">
        <v>416</v>
      </c>
      <c r="D9" s="25">
        <v>2007</v>
      </c>
      <c r="E9" s="41">
        <v>44909</v>
      </c>
      <c r="F9" s="25"/>
      <c r="G9" s="25"/>
      <c r="H9" s="25"/>
      <c r="I9" s="5"/>
      <c r="J9" s="5"/>
      <c r="K9" s="5"/>
    </row>
    <row r="10" spans="1:11" ht="129" customHeight="1" x14ac:dyDescent="0.2">
      <c r="A10" s="27"/>
      <c r="B10" s="167" t="s">
        <v>587</v>
      </c>
      <c r="C10" s="168"/>
      <c r="D10" s="168"/>
      <c r="E10" s="168"/>
      <c r="F10" s="169"/>
      <c r="G10" s="31" t="s">
        <v>338</v>
      </c>
      <c r="H10" s="28"/>
      <c r="I10" s="5"/>
      <c r="J10" s="5"/>
      <c r="K10" s="5"/>
    </row>
    <row r="11" spans="1:11" ht="57.75" customHeight="1" x14ac:dyDescent="0.2">
      <c r="A11" s="27"/>
      <c r="B11" s="162" t="s">
        <v>417</v>
      </c>
      <c r="C11" s="162"/>
      <c r="D11" s="162"/>
      <c r="E11" s="162"/>
      <c r="F11" s="162"/>
      <c r="G11" s="25" t="s">
        <v>338</v>
      </c>
      <c r="H11" s="28"/>
      <c r="I11" s="5"/>
      <c r="J11" s="5"/>
      <c r="K11" s="5"/>
    </row>
    <row r="12" spans="1:11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</sheetData>
  <customSheetViews>
    <customSheetView guid="{D0B43696-C677-428B-89B5-FA762F48CCFE}" showPageBreaks="1" view="pageBreakPreview">
      <selection activeCell="H10" sqref="H10"/>
      <pageMargins left="0.75" right="0.75" top="1" bottom="1" header="0.5" footer="0.5"/>
      <pageSetup paperSize="9" scale="58" orientation="portrait" r:id="rId1"/>
      <headerFooter alignWithMargins="0"/>
    </customSheetView>
    <customSheetView guid="{1A0A59C7-6CA7-4317-90A9-40DF16B65ADD}" showPageBreaks="1" view="pageBreakPreview">
      <selection activeCell="H10" sqref="H10"/>
      <pageMargins left="0.75" right="0.75" top="1" bottom="1" header="0.5" footer="0.5"/>
      <pageSetup paperSize="9" scale="58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8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Arkusz43"/>
  <dimension ref="A2:K17"/>
  <sheetViews>
    <sheetView view="pageBreakPreview" zoomScaleNormal="100" workbookViewId="0">
      <selection activeCell="C17" sqref="C17:E17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42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536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24">
        <v>1</v>
      </c>
      <c r="B9" s="24" t="str">
        <f>"Puritan Bennett 840"</f>
        <v>Puritan Bennett 840</v>
      </c>
      <c r="C9" s="25" t="str">
        <f>"3512142596"</f>
        <v>3512142596</v>
      </c>
      <c r="D9" s="25">
        <v>2014</v>
      </c>
      <c r="E9" s="41">
        <v>44895</v>
      </c>
      <c r="F9" s="25"/>
      <c r="G9" s="25"/>
      <c r="H9" s="25"/>
      <c r="I9" s="5"/>
      <c r="J9" s="5"/>
      <c r="K9" s="5"/>
    </row>
    <row r="10" spans="1:11" x14ac:dyDescent="0.2">
      <c r="A10" s="24">
        <v>2</v>
      </c>
      <c r="B10" s="24" t="str">
        <f>"Puritan Bennett 840"</f>
        <v>Puritan Bennett 840</v>
      </c>
      <c r="C10" s="25" t="str">
        <f>"3512142406"</f>
        <v>3512142406</v>
      </c>
      <c r="D10" s="25">
        <v>2014</v>
      </c>
      <c r="E10" s="41">
        <v>44895</v>
      </c>
      <c r="F10" s="25"/>
      <c r="G10" s="25"/>
      <c r="H10" s="25"/>
      <c r="I10" s="5"/>
      <c r="J10" s="5"/>
      <c r="K10" s="5"/>
    </row>
    <row r="11" spans="1:11" x14ac:dyDescent="0.2">
      <c r="A11" s="24">
        <v>3</v>
      </c>
      <c r="B11" s="24" t="str">
        <f>"Puritan Bennett 840"</f>
        <v>Puritan Bennett 840</v>
      </c>
      <c r="C11" s="25" t="str">
        <f>"3512142536"</f>
        <v>3512142536</v>
      </c>
      <c r="D11" s="25">
        <v>2014</v>
      </c>
      <c r="E11" s="41">
        <v>44895</v>
      </c>
      <c r="F11" s="25"/>
      <c r="G11" s="25"/>
      <c r="H11" s="25"/>
      <c r="I11" s="5"/>
      <c r="J11" s="5"/>
      <c r="K11" s="5"/>
    </row>
    <row r="12" spans="1:11" x14ac:dyDescent="0.2">
      <c r="A12" s="24">
        <v>4</v>
      </c>
      <c r="B12" s="24" t="str">
        <f>"Puritan Bennett 840"</f>
        <v>Puritan Bennett 840</v>
      </c>
      <c r="C12" s="25" t="str">
        <f>"3512142610"</f>
        <v>3512142610</v>
      </c>
      <c r="D12" s="25">
        <v>2014</v>
      </c>
      <c r="E12" s="41">
        <v>44895</v>
      </c>
      <c r="F12" s="25"/>
      <c r="G12" s="25"/>
      <c r="H12" s="25"/>
      <c r="I12" s="5"/>
      <c r="J12" s="5"/>
      <c r="K12" s="5"/>
    </row>
    <row r="13" spans="1:11" x14ac:dyDescent="0.2">
      <c r="A13" s="24">
        <v>5</v>
      </c>
      <c r="B13" s="24" t="str">
        <f>"Puritan Bennett 840"</f>
        <v>Puritan Bennett 840</v>
      </c>
      <c r="C13" s="25" t="str">
        <f>"3512142510"</f>
        <v>3512142510</v>
      </c>
      <c r="D13" s="25">
        <v>2014</v>
      </c>
      <c r="E13" s="41">
        <v>44895</v>
      </c>
      <c r="F13" s="25"/>
      <c r="G13" s="25"/>
      <c r="H13" s="25"/>
      <c r="I13" s="5"/>
      <c r="J13" s="5"/>
      <c r="K13" s="5"/>
    </row>
    <row r="14" spans="1:11" ht="119.25" customHeight="1" x14ac:dyDescent="0.2">
      <c r="A14" s="27"/>
      <c r="B14" s="167" t="s">
        <v>350</v>
      </c>
      <c r="C14" s="168"/>
      <c r="D14" s="168"/>
      <c r="E14" s="168"/>
      <c r="F14" s="169"/>
      <c r="G14" s="31" t="s">
        <v>338</v>
      </c>
      <c r="H14" s="28"/>
      <c r="I14" s="5"/>
      <c r="J14" s="5"/>
      <c r="K14" s="5"/>
    </row>
    <row r="15" spans="1:11" ht="58.5" customHeight="1" x14ac:dyDescent="0.2">
      <c r="A15" s="27"/>
      <c r="B15" s="162" t="s">
        <v>402</v>
      </c>
      <c r="C15" s="162"/>
      <c r="D15" s="162"/>
      <c r="E15" s="162"/>
      <c r="F15" s="162"/>
      <c r="G15" s="25" t="s">
        <v>338</v>
      </c>
      <c r="H15" s="28"/>
      <c r="I15" s="5"/>
      <c r="J15" s="5"/>
      <c r="K15" s="5"/>
    </row>
    <row r="16" spans="1:11" x14ac:dyDescent="0.2">
      <c r="B16" s="3"/>
      <c r="C16" s="26"/>
      <c r="D16" s="5"/>
      <c r="E16" s="5"/>
      <c r="F16" s="5"/>
      <c r="G16" s="5"/>
      <c r="H16" s="5"/>
      <c r="I16" s="5"/>
      <c r="J16" s="5"/>
      <c r="K16" s="5"/>
    </row>
    <row r="17" spans="1:11" x14ac:dyDescent="0.2">
      <c r="A17" s="150" t="s">
        <v>192</v>
      </c>
      <c r="B17" s="151"/>
      <c r="C17" s="152"/>
      <c r="D17" s="153"/>
      <c r="E17" s="154"/>
      <c r="F17" s="155" t="s">
        <v>178</v>
      </c>
      <c r="G17" s="156"/>
      <c r="H17" s="157"/>
      <c r="I17" s="152"/>
      <c r="J17" s="153"/>
      <c r="K17" s="158"/>
    </row>
  </sheetData>
  <customSheetViews>
    <customSheetView guid="{D0B43696-C677-428B-89B5-FA762F48CCFE}" showPageBreaks="1" view="pageBreakPreview">
      <selection activeCell="H14" sqref="H14"/>
      <pageMargins left="0.75" right="0.75" top="1" bottom="1" header="0.5" footer="0.5"/>
      <pageSetup paperSize="9" scale="58" orientation="portrait" r:id="rId1"/>
      <headerFooter alignWithMargins="0"/>
    </customSheetView>
    <customSheetView guid="{1A0A59C7-6CA7-4317-90A9-40DF16B65ADD}" showPageBreaks="1" view="pageBreakPreview">
      <selection activeCell="H14" sqref="H14"/>
      <pageMargins left="0.75" right="0.75" top="1" bottom="1" header="0.5" footer="0.5"/>
      <pageSetup paperSize="9" scale="58" orientation="portrait" r:id="rId2"/>
      <headerFooter alignWithMargins="0"/>
    </customSheetView>
  </customSheetViews>
  <mergeCells count="9">
    <mergeCell ref="A4:B4"/>
    <mergeCell ref="C4:K4"/>
    <mergeCell ref="B6:K6"/>
    <mergeCell ref="B14:F14"/>
    <mergeCell ref="I17:K17"/>
    <mergeCell ref="B15:F15"/>
    <mergeCell ref="A17:B17"/>
    <mergeCell ref="C17:E17"/>
    <mergeCell ref="F17:H17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8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Arkusz44"/>
  <dimension ref="A2:K14"/>
  <sheetViews>
    <sheetView view="pageBreakPreview" topLeftCell="A4" zoomScaleNormal="100" workbookViewId="0">
      <selection activeCell="C14" sqref="C14:E14"/>
    </sheetView>
  </sheetViews>
  <sheetFormatPr defaultRowHeight="12.75" x14ac:dyDescent="0.2"/>
  <cols>
    <col min="1" max="1" width="4" customWidth="1"/>
    <col min="2" max="2" width="25.5703125" bestFit="1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43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287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24">
        <v>1</v>
      </c>
      <c r="B9" s="24" t="s">
        <v>285</v>
      </c>
      <c r="C9" s="25" t="s">
        <v>286</v>
      </c>
      <c r="D9" s="25">
        <v>2017</v>
      </c>
      <c r="E9" s="41">
        <v>44946</v>
      </c>
      <c r="F9" s="25"/>
      <c r="G9" s="25"/>
      <c r="H9" s="25"/>
      <c r="I9" s="5"/>
      <c r="J9" s="5"/>
      <c r="K9" s="5"/>
    </row>
    <row r="10" spans="1:11" ht="25.5" x14ac:dyDescent="0.2">
      <c r="A10" s="24">
        <v>2</v>
      </c>
      <c r="B10" s="24" t="s">
        <v>127</v>
      </c>
      <c r="C10" s="25" t="s">
        <v>128</v>
      </c>
      <c r="D10" s="25">
        <v>2014</v>
      </c>
      <c r="E10" s="41">
        <v>44905</v>
      </c>
      <c r="F10" s="25"/>
      <c r="G10" s="25"/>
      <c r="H10" s="25"/>
      <c r="I10" s="5"/>
      <c r="J10" s="5"/>
      <c r="K10" s="5"/>
    </row>
    <row r="11" spans="1:11" ht="160.5" customHeight="1" x14ac:dyDescent="0.2">
      <c r="A11" s="27"/>
      <c r="B11" s="167" t="s">
        <v>288</v>
      </c>
      <c r="C11" s="168"/>
      <c r="D11" s="168"/>
      <c r="E11" s="168"/>
      <c r="F11" s="169"/>
      <c r="G11" s="31" t="s">
        <v>338</v>
      </c>
      <c r="H11" s="28"/>
      <c r="I11" s="5"/>
      <c r="J11" s="5"/>
      <c r="K11" s="5"/>
    </row>
    <row r="12" spans="1:11" ht="54" customHeight="1" x14ac:dyDescent="0.2">
      <c r="A12" s="27"/>
      <c r="B12" s="162" t="s">
        <v>402</v>
      </c>
      <c r="C12" s="162"/>
      <c r="D12" s="162"/>
      <c r="E12" s="162"/>
      <c r="F12" s="162"/>
      <c r="G12" s="25" t="s">
        <v>338</v>
      </c>
      <c r="H12" s="28"/>
      <c r="I12" s="5"/>
      <c r="J12" s="5"/>
      <c r="K12" s="5"/>
    </row>
    <row r="13" spans="1:11" x14ac:dyDescent="0.2">
      <c r="B13" s="3"/>
      <c r="C13" s="26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150" t="s">
        <v>192</v>
      </c>
      <c r="B14" s="151"/>
      <c r="C14" s="152"/>
      <c r="D14" s="153"/>
      <c r="E14" s="154"/>
      <c r="F14" s="155" t="s">
        <v>178</v>
      </c>
      <c r="G14" s="156"/>
      <c r="H14" s="157"/>
      <c r="I14" s="152"/>
      <c r="J14" s="153"/>
      <c r="K14" s="158"/>
    </row>
  </sheetData>
  <customSheetViews>
    <customSheetView guid="{D0B43696-C677-428B-89B5-FA762F48CCFE}" showPageBreaks="1" view="pageBreakPreview">
      <selection activeCell="H9" sqref="H9:H10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H9" sqref="H9:H10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1:F11"/>
    <mergeCell ref="I14:K14"/>
    <mergeCell ref="B12:F12"/>
    <mergeCell ref="A14:B14"/>
    <mergeCell ref="C14:E14"/>
    <mergeCell ref="F14:H14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Arkusz45"/>
  <dimension ref="A2:K13"/>
  <sheetViews>
    <sheetView view="pageBreakPreview" zoomScaleNormal="100" workbookViewId="0">
      <selection activeCell="C13" sqref="C13:E13"/>
    </sheetView>
  </sheetViews>
  <sheetFormatPr defaultRowHeight="12.75" x14ac:dyDescent="0.2"/>
  <cols>
    <col min="1" max="1" width="4" customWidth="1"/>
    <col min="2" max="2" width="25.5703125" bestFit="1" customWidth="1"/>
    <col min="3" max="3" width="14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44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352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ht="25.5" x14ac:dyDescent="0.2">
      <c r="A9" s="24">
        <v>1</v>
      </c>
      <c r="B9" s="24" t="s">
        <v>353</v>
      </c>
      <c r="C9" s="32" t="s">
        <v>354</v>
      </c>
      <c r="D9" s="25">
        <v>2008</v>
      </c>
      <c r="E9" s="41">
        <v>44813</v>
      </c>
      <c r="F9" s="25"/>
      <c r="G9" s="25"/>
      <c r="H9" s="25"/>
      <c r="I9" s="5"/>
      <c r="J9" s="5"/>
      <c r="K9" s="5"/>
    </row>
    <row r="10" spans="1:11" ht="122.25" customHeight="1" x14ac:dyDescent="0.2">
      <c r="A10" s="27"/>
      <c r="B10" s="167" t="s">
        <v>76</v>
      </c>
      <c r="C10" s="168"/>
      <c r="D10" s="168"/>
      <c r="E10" s="168"/>
      <c r="F10" s="169"/>
      <c r="G10" s="31" t="s">
        <v>338</v>
      </c>
      <c r="H10" s="28"/>
      <c r="I10" s="5"/>
      <c r="J10" s="5"/>
      <c r="K10" s="5"/>
    </row>
    <row r="11" spans="1:11" ht="56.25" customHeight="1" x14ac:dyDescent="0.2">
      <c r="A11" s="27"/>
      <c r="B11" s="162" t="s">
        <v>402</v>
      </c>
      <c r="C11" s="162"/>
      <c r="D11" s="162"/>
      <c r="E11" s="162"/>
      <c r="F11" s="162"/>
      <c r="G11" s="25" t="s">
        <v>338</v>
      </c>
      <c r="H11" s="28"/>
      <c r="I11" s="5"/>
      <c r="J11" s="5"/>
      <c r="K11" s="5"/>
    </row>
    <row r="12" spans="1:11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</sheetData>
  <customSheetViews>
    <customSheetView guid="{D0B43696-C677-428B-89B5-FA762F48CCFE}" showPageBreaks="1" view="pageBreakPreview">
      <selection activeCell="B12" sqref="B12:F12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B12" sqref="B12:F12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Arkusz46"/>
  <dimension ref="A2:K13"/>
  <sheetViews>
    <sheetView view="pageBreakPreview" zoomScaleNormal="100" workbookViewId="0">
      <selection activeCell="C13" sqref="C13:E13"/>
    </sheetView>
  </sheetViews>
  <sheetFormatPr defaultRowHeight="12.75" x14ac:dyDescent="0.2"/>
  <cols>
    <col min="1" max="1" width="4" customWidth="1"/>
    <col min="2" max="2" width="25.5703125" bestFit="1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45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537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24">
        <v>1</v>
      </c>
      <c r="B9" s="42">
        <v>2307101</v>
      </c>
      <c r="C9" s="25" t="s">
        <v>129</v>
      </c>
      <c r="D9" s="25">
        <v>2014</v>
      </c>
      <c r="E9" s="41">
        <v>44870</v>
      </c>
      <c r="F9" s="25"/>
      <c r="G9" s="25"/>
      <c r="H9" s="25"/>
      <c r="I9" s="5"/>
      <c r="J9" s="5"/>
      <c r="K9" s="5"/>
    </row>
    <row r="10" spans="1:11" ht="167.25" customHeight="1" x14ac:dyDescent="0.2">
      <c r="A10" s="27"/>
      <c r="B10" s="167" t="s">
        <v>289</v>
      </c>
      <c r="C10" s="168"/>
      <c r="D10" s="168"/>
      <c r="E10" s="168"/>
      <c r="F10" s="169"/>
      <c r="G10" s="31" t="s">
        <v>338</v>
      </c>
      <c r="H10" s="28"/>
      <c r="I10" s="5"/>
      <c r="J10" s="5"/>
      <c r="K10" s="5"/>
    </row>
    <row r="11" spans="1:11" ht="55.5" customHeight="1" x14ac:dyDescent="0.2">
      <c r="A11" s="27"/>
      <c r="B11" s="162" t="s">
        <v>402</v>
      </c>
      <c r="C11" s="162"/>
      <c r="D11" s="162"/>
      <c r="E11" s="162"/>
      <c r="F11" s="162"/>
      <c r="G11" s="25" t="s">
        <v>338</v>
      </c>
      <c r="H11" s="28"/>
      <c r="I11" s="5"/>
      <c r="J11" s="5"/>
      <c r="K11" s="5"/>
    </row>
    <row r="12" spans="1:11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</sheetData>
  <customSheetViews>
    <customSheetView guid="{D0B43696-C677-428B-89B5-FA762F48CCFE}" showPageBreaks="1" view="pageBreakPreview">
      <selection activeCell="F20" sqref="F20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F20" sqref="F20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Arkusz47"/>
  <dimension ref="A2:K13"/>
  <sheetViews>
    <sheetView view="pageBreakPreview" zoomScaleNormal="100" workbookViewId="0">
      <selection activeCell="C13" sqref="C13:E13"/>
    </sheetView>
  </sheetViews>
  <sheetFormatPr defaultRowHeight="12.75" x14ac:dyDescent="0.2"/>
  <cols>
    <col min="1" max="1" width="4" customWidth="1"/>
    <col min="2" max="2" width="25.5703125" bestFit="1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46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538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24">
        <v>1</v>
      </c>
      <c r="B9" s="42" t="s">
        <v>130</v>
      </c>
      <c r="C9" s="25">
        <v>1111408462</v>
      </c>
      <c r="D9" s="25">
        <v>2014</v>
      </c>
      <c r="E9" s="41">
        <v>44977</v>
      </c>
      <c r="F9" s="25"/>
      <c r="G9" s="25"/>
      <c r="H9" s="25"/>
      <c r="I9" s="5"/>
      <c r="J9" s="5"/>
      <c r="K9" s="5"/>
    </row>
    <row r="10" spans="1:11" ht="105.75" customHeight="1" x14ac:dyDescent="0.2">
      <c r="A10" s="27"/>
      <c r="B10" s="167" t="s">
        <v>175</v>
      </c>
      <c r="C10" s="168"/>
      <c r="D10" s="168"/>
      <c r="E10" s="168"/>
      <c r="F10" s="169"/>
      <c r="G10" s="31" t="s">
        <v>338</v>
      </c>
      <c r="H10" s="28"/>
      <c r="I10" s="5"/>
      <c r="J10" s="5"/>
      <c r="K10" s="5"/>
    </row>
    <row r="11" spans="1:11" ht="78" customHeight="1" x14ac:dyDescent="0.2">
      <c r="A11" s="27"/>
      <c r="B11" s="162" t="s">
        <v>131</v>
      </c>
      <c r="C11" s="162"/>
      <c r="D11" s="162"/>
      <c r="E11" s="162"/>
      <c r="F11" s="162"/>
      <c r="G11" s="25" t="s">
        <v>338</v>
      </c>
      <c r="H11" s="28"/>
      <c r="I11" s="5"/>
      <c r="J11" s="5"/>
      <c r="K11" s="5"/>
    </row>
    <row r="12" spans="1:11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</sheetData>
  <customSheetViews>
    <customSheetView guid="{D0B43696-C677-428B-89B5-FA762F48CCFE}" showPageBreaks="1" view="pageBreakPreview">
      <selection activeCell="H10" sqref="H10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H10" sqref="H10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Arkusz48"/>
  <dimension ref="A2:K13"/>
  <sheetViews>
    <sheetView view="pageBreakPreview" zoomScaleNormal="100" workbookViewId="0">
      <selection activeCell="C13" sqref="C13:E13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47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539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24">
        <v>1</v>
      </c>
      <c r="B9" s="42" t="s">
        <v>134</v>
      </c>
      <c r="C9" s="25" t="s">
        <v>135</v>
      </c>
      <c r="D9" s="25">
        <v>2014</v>
      </c>
      <c r="E9" s="41">
        <v>44937</v>
      </c>
      <c r="F9" s="25"/>
      <c r="G9" s="25"/>
      <c r="H9" s="25"/>
      <c r="I9" s="5"/>
      <c r="J9" s="5"/>
      <c r="K9" s="5"/>
    </row>
    <row r="10" spans="1:11" ht="105" customHeight="1" x14ac:dyDescent="0.2">
      <c r="A10" s="27"/>
      <c r="B10" s="167" t="s">
        <v>175</v>
      </c>
      <c r="C10" s="168"/>
      <c r="D10" s="168"/>
      <c r="E10" s="168"/>
      <c r="F10" s="169"/>
      <c r="G10" s="31" t="s">
        <v>338</v>
      </c>
      <c r="H10" s="28"/>
      <c r="I10" s="5"/>
      <c r="J10" s="5"/>
      <c r="K10" s="5"/>
    </row>
    <row r="11" spans="1:11" ht="68.25" customHeight="1" x14ac:dyDescent="0.2">
      <c r="A11" s="27"/>
      <c r="B11" s="162" t="s">
        <v>133</v>
      </c>
      <c r="C11" s="162"/>
      <c r="D11" s="162"/>
      <c r="E11" s="162"/>
      <c r="F11" s="162"/>
      <c r="G11" s="25" t="s">
        <v>338</v>
      </c>
      <c r="H11" s="28"/>
      <c r="I11" s="5"/>
      <c r="J11" s="5"/>
      <c r="K11" s="5"/>
    </row>
    <row r="12" spans="1:11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</sheetData>
  <customSheetViews>
    <customSheetView guid="{D0B43696-C677-428B-89B5-FA762F48CCFE}" showPageBreaks="1" view="pageBreakPreview">
      <selection activeCell="H10" sqref="H10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H10" sqref="H10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Arkusz49"/>
  <dimension ref="A2:K13"/>
  <sheetViews>
    <sheetView view="pageBreakPreview" zoomScaleNormal="100" workbookViewId="0">
      <selection activeCell="C13" sqref="C13:E13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48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540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24">
        <v>1</v>
      </c>
      <c r="B9" s="42" t="s">
        <v>137</v>
      </c>
      <c r="C9" s="25" t="s">
        <v>138</v>
      </c>
      <c r="D9" s="25">
        <v>2014</v>
      </c>
      <c r="E9" s="41">
        <v>44985</v>
      </c>
      <c r="F9" s="25"/>
      <c r="G9" s="25"/>
      <c r="H9" s="25"/>
      <c r="I9" s="5"/>
      <c r="J9" s="5"/>
      <c r="K9" s="5"/>
    </row>
    <row r="10" spans="1:11" ht="106.5" customHeight="1" x14ac:dyDescent="0.2">
      <c r="A10" s="27"/>
      <c r="B10" s="167" t="s">
        <v>175</v>
      </c>
      <c r="C10" s="168"/>
      <c r="D10" s="168"/>
      <c r="E10" s="168"/>
      <c r="F10" s="169"/>
      <c r="G10" s="31" t="s">
        <v>338</v>
      </c>
      <c r="H10" s="28"/>
      <c r="I10" s="5"/>
      <c r="J10" s="5"/>
      <c r="K10" s="5"/>
    </row>
    <row r="11" spans="1:11" ht="81" customHeight="1" x14ac:dyDescent="0.2">
      <c r="A11" s="27"/>
      <c r="B11" s="162" t="s">
        <v>131</v>
      </c>
      <c r="C11" s="162"/>
      <c r="D11" s="162"/>
      <c r="E11" s="162"/>
      <c r="F11" s="162"/>
      <c r="G11" s="25" t="s">
        <v>338</v>
      </c>
      <c r="H11" s="28"/>
      <c r="I11" s="5"/>
      <c r="J11" s="5"/>
      <c r="K11" s="5"/>
    </row>
    <row r="12" spans="1:11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</sheetData>
  <customSheetViews>
    <customSheetView guid="{D0B43696-C677-428B-89B5-FA762F48CCFE}" showPageBreaks="1" view="pageBreakPreview">
      <selection activeCell="H9" sqref="H9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H9" sqref="H9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Arkusz50"/>
  <dimension ref="A2:K49"/>
  <sheetViews>
    <sheetView view="pageBreakPreview" topLeftCell="A34" zoomScaleNormal="100" workbookViewId="0">
      <selection activeCell="C49" sqref="C49:E49"/>
    </sheetView>
  </sheetViews>
  <sheetFormatPr defaultRowHeight="12.75" x14ac:dyDescent="0.2"/>
  <cols>
    <col min="1" max="1" width="4" customWidth="1"/>
    <col min="2" max="2" width="25.5703125" bestFit="1" customWidth="1"/>
    <col min="3" max="3" width="17.42578125" bestFit="1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49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541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24">
        <v>1</v>
      </c>
      <c r="B9" s="48" t="s">
        <v>111</v>
      </c>
      <c r="C9" s="49" t="s">
        <v>109</v>
      </c>
      <c r="D9" s="25">
        <v>2006</v>
      </c>
      <c r="E9" s="41">
        <v>44859</v>
      </c>
      <c r="F9" s="25"/>
      <c r="G9" s="25"/>
      <c r="H9" s="25"/>
      <c r="I9" s="5"/>
      <c r="J9" s="5"/>
      <c r="K9" s="5"/>
    </row>
    <row r="10" spans="1:11" x14ac:dyDescent="0.2">
      <c r="A10" s="24">
        <v>2</v>
      </c>
      <c r="B10" s="48" t="s">
        <v>111</v>
      </c>
      <c r="C10" s="49" t="s">
        <v>110</v>
      </c>
      <c r="D10" s="25">
        <v>2006</v>
      </c>
      <c r="E10" s="41">
        <v>44859</v>
      </c>
      <c r="F10" s="25"/>
      <c r="G10" s="25"/>
      <c r="H10" s="25"/>
      <c r="I10" s="5"/>
      <c r="J10" s="5"/>
      <c r="K10" s="5"/>
    </row>
    <row r="11" spans="1:11" x14ac:dyDescent="0.2">
      <c r="A11" s="24">
        <v>3</v>
      </c>
      <c r="B11" s="24" t="s">
        <v>120</v>
      </c>
      <c r="C11" s="49" t="s">
        <v>86</v>
      </c>
      <c r="D11" s="25">
        <v>2008</v>
      </c>
      <c r="E11" s="41">
        <v>44859</v>
      </c>
      <c r="F11" s="25"/>
      <c r="G11" s="25"/>
      <c r="H11" s="25"/>
      <c r="I11" s="5"/>
      <c r="J11" s="5"/>
      <c r="K11" s="5"/>
    </row>
    <row r="12" spans="1:11" x14ac:dyDescent="0.2">
      <c r="A12" s="24">
        <v>4</v>
      </c>
      <c r="B12" s="24" t="s">
        <v>120</v>
      </c>
      <c r="C12" s="49" t="s">
        <v>87</v>
      </c>
      <c r="D12" s="25">
        <v>2008</v>
      </c>
      <c r="E12" s="41">
        <v>44859</v>
      </c>
      <c r="F12" s="25"/>
      <c r="G12" s="25"/>
      <c r="H12" s="25"/>
      <c r="I12" s="5"/>
      <c r="J12" s="5"/>
      <c r="K12" s="5"/>
    </row>
    <row r="13" spans="1:11" x14ac:dyDescent="0.2">
      <c r="A13" s="24">
        <v>5</v>
      </c>
      <c r="B13" s="24" t="s">
        <v>120</v>
      </c>
      <c r="C13" s="49" t="s">
        <v>88</v>
      </c>
      <c r="D13" s="25">
        <v>2014</v>
      </c>
      <c r="E13" s="41">
        <v>44859</v>
      </c>
      <c r="F13" s="25"/>
      <c r="G13" s="25"/>
      <c r="H13" s="25"/>
      <c r="I13" s="5"/>
      <c r="J13" s="5"/>
      <c r="K13" s="5"/>
    </row>
    <row r="14" spans="1:11" x14ac:dyDescent="0.2">
      <c r="A14" s="24">
        <v>6</v>
      </c>
      <c r="B14" s="24" t="s">
        <v>120</v>
      </c>
      <c r="C14" s="49" t="s">
        <v>89</v>
      </c>
      <c r="D14" s="25">
        <v>2014</v>
      </c>
      <c r="E14" s="41">
        <v>44859</v>
      </c>
      <c r="F14" s="25"/>
      <c r="G14" s="25"/>
      <c r="H14" s="25"/>
      <c r="I14" s="5"/>
      <c r="J14" s="5"/>
      <c r="K14" s="5"/>
    </row>
    <row r="15" spans="1:11" x14ac:dyDescent="0.2">
      <c r="A15" s="24">
        <v>7</v>
      </c>
      <c r="B15" s="24" t="s">
        <v>120</v>
      </c>
      <c r="C15" s="49" t="s">
        <v>90</v>
      </c>
      <c r="D15" s="25">
        <v>2014</v>
      </c>
      <c r="E15" s="41">
        <v>44859</v>
      </c>
      <c r="F15" s="25"/>
      <c r="G15" s="25"/>
      <c r="H15" s="25"/>
      <c r="I15" s="5"/>
      <c r="J15" s="5"/>
      <c r="K15" s="5"/>
    </row>
    <row r="16" spans="1:11" x14ac:dyDescent="0.2">
      <c r="A16" s="24">
        <v>8</v>
      </c>
      <c r="B16" s="24" t="s">
        <v>120</v>
      </c>
      <c r="C16" s="49" t="s">
        <v>91</v>
      </c>
      <c r="D16" s="25">
        <v>2014</v>
      </c>
      <c r="E16" s="41">
        <v>44859</v>
      </c>
      <c r="F16" s="25"/>
      <c r="G16" s="25"/>
      <c r="H16" s="25"/>
      <c r="I16" s="5"/>
      <c r="J16" s="5"/>
      <c r="K16" s="5"/>
    </row>
    <row r="17" spans="1:11" x14ac:dyDescent="0.2">
      <c r="A17" s="24">
        <v>9</v>
      </c>
      <c r="B17" s="24" t="s">
        <v>120</v>
      </c>
      <c r="C17" s="49" t="s">
        <v>92</v>
      </c>
      <c r="D17" s="25">
        <v>2014</v>
      </c>
      <c r="E17" s="41">
        <v>44859</v>
      </c>
      <c r="F17" s="25"/>
      <c r="G17" s="25"/>
      <c r="H17" s="25"/>
      <c r="I17" s="5"/>
      <c r="J17" s="5"/>
      <c r="K17" s="5"/>
    </row>
    <row r="18" spans="1:11" x14ac:dyDescent="0.2">
      <c r="A18" s="24">
        <v>10</v>
      </c>
      <c r="B18" s="24" t="s">
        <v>120</v>
      </c>
      <c r="C18" s="49" t="s">
        <v>93</v>
      </c>
      <c r="D18" s="25">
        <v>2014</v>
      </c>
      <c r="E18" s="41">
        <v>44859</v>
      </c>
      <c r="F18" s="25"/>
      <c r="G18" s="25"/>
      <c r="H18" s="25"/>
      <c r="I18" s="5"/>
      <c r="J18" s="5"/>
      <c r="K18" s="5"/>
    </row>
    <row r="19" spans="1:11" x14ac:dyDescent="0.2">
      <c r="A19" s="24">
        <v>11</v>
      </c>
      <c r="B19" s="24" t="s">
        <v>120</v>
      </c>
      <c r="C19" s="49" t="s">
        <v>94</v>
      </c>
      <c r="D19" s="25">
        <v>2014</v>
      </c>
      <c r="E19" s="41">
        <v>44859</v>
      </c>
      <c r="F19" s="25"/>
      <c r="G19" s="25"/>
      <c r="H19" s="25"/>
      <c r="I19" s="5"/>
      <c r="J19" s="5"/>
      <c r="K19" s="5"/>
    </row>
    <row r="20" spans="1:11" x14ac:dyDescent="0.2">
      <c r="A20" s="24">
        <v>12</v>
      </c>
      <c r="B20" s="24" t="s">
        <v>120</v>
      </c>
      <c r="C20" s="49" t="s">
        <v>95</v>
      </c>
      <c r="D20" s="25">
        <v>2014</v>
      </c>
      <c r="E20" s="41">
        <v>44859</v>
      </c>
      <c r="F20" s="25"/>
      <c r="G20" s="25"/>
      <c r="H20" s="25"/>
      <c r="I20" s="5"/>
      <c r="J20" s="5"/>
      <c r="K20" s="5"/>
    </row>
    <row r="21" spans="1:11" x14ac:dyDescent="0.2">
      <c r="A21" s="24">
        <v>13</v>
      </c>
      <c r="B21" s="24" t="s">
        <v>120</v>
      </c>
      <c r="C21" s="49" t="s">
        <v>96</v>
      </c>
      <c r="D21" s="25">
        <v>2014</v>
      </c>
      <c r="E21" s="41">
        <v>44859</v>
      </c>
      <c r="F21" s="25"/>
      <c r="G21" s="25"/>
      <c r="H21" s="25"/>
      <c r="I21" s="5"/>
      <c r="J21" s="5"/>
      <c r="K21" s="5"/>
    </row>
    <row r="22" spans="1:11" x14ac:dyDescent="0.2">
      <c r="A22" s="24">
        <v>14</v>
      </c>
      <c r="B22" s="24" t="s">
        <v>120</v>
      </c>
      <c r="C22" s="49" t="s">
        <v>97</v>
      </c>
      <c r="D22" s="25">
        <v>2014</v>
      </c>
      <c r="E22" s="41">
        <v>44859</v>
      </c>
      <c r="F22" s="25"/>
      <c r="G22" s="25"/>
      <c r="H22" s="25"/>
      <c r="I22" s="5"/>
      <c r="J22" s="5"/>
      <c r="K22" s="5"/>
    </row>
    <row r="23" spans="1:11" x14ac:dyDescent="0.2">
      <c r="A23" s="24">
        <v>15</v>
      </c>
      <c r="B23" s="24" t="s">
        <v>120</v>
      </c>
      <c r="C23" s="49" t="s">
        <v>98</v>
      </c>
      <c r="D23" s="25">
        <v>2014</v>
      </c>
      <c r="E23" s="41">
        <v>44859</v>
      </c>
      <c r="F23" s="25"/>
      <c r="G23" s="25"/>
      <c r="H23" s="25"/>
      <c r="I23" s="5"/>
      <c r="J23" s="5"/>
      <c r="K23" s="5"/>
    </row>
    <row r="24" spans="1:11" x14ac:dyDescent="0.2">
      <c r="A24" s="24">
        <v>16</v>
      </c>
      <c r="B24" s="24" t="s">
        <v>120</v>
      </c>
      <c r="C24" s="49" t="s">
        <v>99</v>
      </c>
      <c r="D24" s="25">
        <v>2014</v>
      </c>
      <c r="E24" s="41">
        <v>44859</v>
      </c>
      <c r="F24" s="25"/>
      <c r="G24" s="25"/>
      <c r="H24" s="25"/>
      <c r="I24" s="5"/>
      <c r="J24" s="5"/>
      <c r="K24" s="5"/>
    </row>
    <row r="25" spans="1:11" x14ac:dyDescent="0.2">
      <c r="A25" s="24">
        <v>17</v>
      </c>
      <c r="B25" s="24" t="s">
        <v>120</v>
      </c>
      <c r="C25" s="49" t="s">
        <v>100</v>
      </c>
      <c r="D25" s="25">
        <v>2014</v>
      </c>
      <c r="E25" s="41">
        <v>44859</v>
      </c>
      <c r="F25" s="25"/>
      <c r="G25" s="25"/>
      <c r="H25" s="25"/>
      <c r="I25" s="5"/>
      <c r="J25" s="5"/>
      <c r="K25" s="5"/>
    </row>
    <row r="26" spans="1:11" x14ac:dyDescent="0.2">
      <c r="A26" s="24">
        <v>18</v>
      </c>
      <c r="B26" s="24" t="s">
        <v>120</v>
      </c>
      <c r="C26" s="49" t="s">
        <v>101</v>
      </c>
      <c r="D26" s="25">
        <v>2014</v>
      </c>
      <c r="E26" s="41">
        <v>44859</v>
      </c>
      <c r="F26" s="25"/>
      <c r="G26" s="25"/>
      <c r="H26" s="25"/>
      <c r="I26" s="5"/>
      <c r="J26" s="5"/>
      <c r="K26" s="5"/>
    </row>
    <row r="27" spans="1:11" x14ac:dyDescent="0.2">
      <c r="A27" s="24">
        <v>19</v>
      </c>
      <c r="B27" s="24" t="s">
        <v>120</v>
      </c>
      <c r="C27" s="49" t="s">
        <v>102</v>
      </c>
      <c r="D27" s="25">
        <v>2014</v>
      </c>
      <c r="E27" s="41">
        <v>44859</v>
      </c>
      <c r="F27" s="25"/>
      <c r="G27" s="25"/>
      <c r="H27" s="25"/>
      <c r="I27" s="5"/>
      <c r="J27" s="5"/>
      <c r="K27" s="5"/>
    </row>
    <row r="28" spans="1:11" x14ac:dyDescent="0.2">
      <c r="A28" s="24">
        <v>20</v>
      </c>
      <c r="B28" s="24" t="s">
        <v>120</v>
      </c>
      <c r="C28" s="49" t="s">
        <v>103</v>
      </c>
      <c r="D28" s="25">
        <v>2014</v>
      </c>
      <c r="E28" s="41">
        <v>44859</v>
      </c>
      <c r="F28" s="25"/>
      <c r="G28" s="25"/>
      <c r="H28" s="25"/>
      <c r="I28" s="5"/>
      <c r="J28" s="5"/>
      <c r="K28" s="5"/>
    </row>
    <row r="29" spans="1:11" x14ac:dyDescent="0.2">
      <c r="A29" s="24">
        <v>21</v>
      </c>
      <c r="B29" s="24" t="s">
        <v>120</v>
      </c>
      <c r="C29" s="49" t="s">
        <v>104</v>
      </c>
      <c r="D29" s="25">
        <v>2014</v>
      </c>
      <c r="E29" s="41">
        <v>44859</v>
      </c>
      <c r="F29" s="25"/>
      <c r="G29" s="25"/>
      <c r="H29" s="25"/>
      <c r="I29" s="5"/>
      <c r="J29" s="5"/>
      <c r="K29" s="5"/>
    </row>
    <row r="30" spans="1:11" x14ac:dyDescent="0.2">
      <c r="A30" s="24">
        <v>22</v>
      </c>
      <c r="B30" s="24" t="s">
        <v>120</v>
      </c>
      <c r="C30" s="49" t="s">
        <v>105</v>
      </c>
      <c r="D30" s="25">
        <v>2014</v>
      </c>
      <c r="E30" s="41">
        <v>44859</v>
      </c>
      <c r="F30" s="25"/>
      <c r="G30" s="25"/>
      <c r="H30" s="25"/>
      <c r="I30" s="5"/>
      <c r="J30" s="5"/>
      <c r="K30" s="5"/>
    </row>
    <row r="31" spans="1:11" x14ac:dyDescent="0.2">
      <c r="A31" s="24">
        <v>23</v>
      </c>
      <c r="B31" s="24" t="s">
        <v>120</v>
      </c>
      <c r="C31" s="49" t="s">
        <v>106</v>
      </c>
      <c r="D31" s="25">
        <v>2014</v>
      </c>
      <c r="E31" s="41">
        <v>44859</v>
      </c>
      <c r="F31" s="25"/>
      <c r="G31" s="25"/>
      <c r="H31" s="25"/>
      <c r="I31" s="5"/>
      <c r="J31" s="5"/>
      <c r="K31" s="5"/>
    </row>
    <row r="32" spans="1:11" x14ac:dyDescent="0.2">
      <c r="A32" s="24">
        <v>24</v>
      </c>
      <c r="B32" s="24" t="s">
        <v>120</v>
      </c>
      <c r="C32" s="49" t="s">
        <v>107</v>
      </c>
      <c r="D32" s="25">
        <v>2014</v>
      </c>
      <c r="E32" s="41">
        <v>44859</v>
      </c>
      <c r="F32" s="25"/>
      <c r="G32" s="25"/>
      <c r="H32" s="25"/>
      <c r="I32" s="5"/>
      <c r="J32" s="5"/>
      <c r="K32" s="5"/>
    </row>
    <row r="33" spans="1:11" x14ac:dyDescent="0.2">
      <c r="A33" s="24">
        <v>25</v>
      </c>
      <c r="B33" s="24" t="s">
        <v>120</v>
      </c>
      <c r="C33" s="49" t="s">
        <v>108</v>
      </c>
      <c r="D33" s="25">
        <v>2014</v>
      </c>
      <c r="E33" s="41">
        <v>44859</v>
      </c>
      <c r="F33" s="25"/>
      <c r="G33" s="25"/>
      <c r="H33" s="25"/>
      <c r="I33" s="5"/>
      <c r="J33" s="5"/>
      <c r="K33" s="5"/>
    </row>
    <row r="34" spans="1:11" x14ac:dyDescent="0.2">
      <c r="A34" s="24">
        <v>26</v>
      </c>
      <c r="B34" s="24" t="s">
        <v>111</v>
      </c>
      <c r="C34" s="49" t="s">
        <v>82</v>
      </c>
      <c r="D34" s="25">
        <v>2014</v>
      </c>
      <c r="E34" s="41">
        <v>44859</v>
      </c>
      <c r="F34" s="25"/>
      <c r="G34" s="25"/>
      <c r="H34" s="25"/>
      <c r="I34" s="5"/>
      <c r="J34" s="5"/>
      <c r="K34" s="5"/>
    </row>
    <row r="35" spans="1:11" x14ac:dyDescent="0.2">
      <c r="A35" s="24">
        <v>27</v>
      </c>
      <c r="B35" s="24" t="s">
        <v>121</v>
      </c>
      <c r="C35" s="50" t="s">
        <v>122</v>
      </c>
      <c r="D35" s="25">
        <v>2014</v>
      </c>
      <c r="E35" s="41">
        <v>44859</v>
      </c>
      <c r="F35" s="25"/>
      <c r="G35" s="25"/>
      <c r="H35" s="25"/>
      <c r="I35" s="5"/>
      <c r="J35" s="5"/>
      <c r="K35" s="5"/>
    </row>
    <row r="36" spans="1:11" x14ac:dyDescent="0.2">
      <c r="A36" s="24">
        <v>28</v>
      </c>
      <c r="B36" s="24" t="s">
        <v>121</v>
      </c>
      <c r="C36" s="50" t="s">
        <v>123</v>
      </c>
      <c r="D36" s="25">
        <v>2006</v>
      </c>
      <c r="E36" s="41">
        <v>44859</v>
      </c>
      <c r="F36" s="25"/>
      <c r="G36" s="25"/>
      <c r="H36" s="25"/>
      <c r="I36" s="5"/>
      <c r="J36" s="5"/>
      <c r="K36" s="5"/>
    </row>
    <row r="37" spans="1:11" x14ac:dyDescent="0.2">
      <c r="A37" s="24">
        <v>29</v>
      </c>
      <c r="B37" s="24" t="s">
        <v>121</v>
      </c>
      <c r="C37" s="50" t="s">
        <v>124</v>
      </c>
      <c r="D37" s="25">
        <v>2016</v>
      </c>
      <c r="E37" s="41">
        <v>44859</v>
      </c>
      <c r="F37" s="25"/>
      <c r="G37" s="25"/>
      <c r="H37" s="25"/>
      <c r="I37" s="5"/>
      <c r="J37" s="5"/>
      <c r="K37" s="5"/>
    </row>
    <row r="38" spans="1:11" x14ac:dyDescent="0.2">
      <c r="A38" s="24">
        <v>30</v>
      </c>
      <c r="B38" s="24" t="s">
        <v>121</v>
      </c>
      <c r="C38" s="50" t="s">
        <v>125</v>
      </c>
      <c r="D38" s="25">
        <v>2016</v>
      </c>
      <c r="E38" s="41">
        <v>44859</v>
      </c>
      <c r="F38" s="25"/>
      <c r="G38" s="25"/>
      <c r="H38" s="25"/>
      <c r="I38" s="5"/>
      <c r="J38" s="5"/>
      <c r="K38" s="5"/>
    </row>
    <row r="39" spans="1:11" x14ac:dyDescent="0.2">
      <c r="A39" s="24">
        <v>31</v>
      </c>
      <c r="B39" s="48" t="s">
        <v>83</v>
      </c>
      <c r="C39" s="49" t="s">
        <v>84</v>
      </c>
      <c r="D39" s="25">
        <v>2016</v>
      </c>
      <c r="E39" s="41">
        <v>44859</v>
      </c>
      <c r="F39" s="25"/>
      <c r="G39" s="25"/>
      <c r="H39" s="25"/>
      <c r="I39" s="5"/>
      <c r="J39" s="5"/>
      <c r="K39" s="5"/>
    </row>
    <row r="40" spans="1:11" x14ac:dyDescent="0.2">
      <c r="A40" s="24">
        <v>32</v>
      </c>
      <c r="B40" s="48" t="s">
        <v>83</v>
      </c>
      <c r="C40" s="49" t="s">
        <v>85</v>
      </c>
      <c r="D40" s="25">
        <v>2016</v>
      </c>
      <c r="E40" s="41">
        <v>44859</v>
      </c>
      <c r="F40" s="25"/>
      <c r="G40" s="25"/>
      <c r="H40" s="25"/>
      <c r="I40" s="5"/>
      <c r="J40" s="5"/>
      <c r="K40" s="5"/>
    </row>
    <row r="41" spans="1:11" x14ac:dyDescent="0.2">
      <c r="A41" s="24">
        <v>33</v>
      </c>
      <c r="B41" s="48" t="s">
        <v>112</v>
      </c>
      <c r="C41" s="49" t="s">
        <v>113</v>
      </c>
      <c r="D41" s="25">
        <v>2007</v>
      </c>
      <c r="E41" s="41">
        <v>44859</v>
      </c>
      <c r="F41" s="25"/>
      <c r="G41" s="25"/>
      <c r="H41" s="25"/>
      <c r="I41" s="5"/>
      <c r="J41" s="5"/>
      <c r="K41" s="5"/>
    </row>
    <row r="42" spans="1:11" x14ac:dyDescent="0.2">
      <c r="A42" s="24">
        <v>34</v>
      </c>
      <c r="B42" s="48" t="s">
        <v>112</v>
      </c>
      <c r="C42" s="49" t="s">
        <v>114</v>
      </c>
      <c r="D42" s="25">
        <v>2007</v>
      </c>
      <c r="E42" s="41">
        <v>44859</v>
      </c>
      <c r="F42" s="25"/>
      <c r="G42" s="25"/>
      <c r="H42" s="25"/>
      <c r="I42" s="5"/>
      <c r="J42" s="5"/>
      <c r="K42" s="5"/>
    </row>
    <row r="43" spans="1:11" x14ac:dyDescent="0.2">
      <c r="A43" s="24">
        <v>35</v>
      </c>
      <c r="B43" s="48" t="s">
        <v>112</v>
      </c>
      <c r="C43" s="49" t="s">
        <v>115</v>
      </c>
      <c r="D43" s="25">
        <v>2006</v>
      </c>
      <c r="E43" s="41">
        <v>44859</v>
      </c>
      <c r="F43" s="25"/>
      <c r="G43" s="25"/>
      <c r="H43" s="25"/>
      <c r="I43" s="5"/>
      <c r="J43" s="5"/>
      <c r="K43" s="5"/>
    </row>
    <row r="44" spans="1:11" x14ac:dyDescent="0.2">
      <c r="A44" s="24">
        <v>36</v>
      </c>
      <c r="B44" s="48" t="s">
        <v>112</v>
      </c>
      <c r="C44" s="49" t="s">
        <v>116</v>
      </c>
      <c r="D44" s="25">
        <v>2006</v>
      </c>
      <c r="E44" s="41">
        <v>44859</v>
      </c>
      <c r="F44" s="25"/>
      <c r="G44" s="25"/>
      <c r="H44" s="25"/>
      <c r="I44" s="5"/>
      <c r="J44" s="5"/>
      <c r="K44" s="5"/>
    </row>
    <row r="45" spans="1:11" x14ac:dyDescent="0.2">
      <c r="A45" s="24">
        <v>37</v>
      </c>
      <c r="B45" s="48" t="s">
        <v>112</v>
      </c>
      <c r="C45" s="49" t="s">
        <v>117</v>
      </c>
      <c r="D45" s="25">
        <v>2006</v>
      </c>
      <c r="E45" s="41">
        <v>44859</v>
      </c>
      <c r="F45" s="25"/>
      <c r="G45" s="25"/>
      <c r="H45" s="25"/>
      <c r="I45" s="5"/>
      <c r="J45" s="5"/>
      <c r="K45" s="5"/>
    </row>
    <row r="46" spans="1:11" ht="94.5" customHeight="1" x14ac:dyDescent="0.2">
      <c r="A46" s="27"/>
      <c r="B46" s="167" t="s">
        <v>412</v>
      </c>
      <c r="C46" s="168"/>
      <c r="D46" s="168"/>
      <c r="E46" s="168"/>
      <c r="F46" s="169"/>
      <c r="G46" s="31" t="s">
        <v>338</v>
      </c>
      <c r="H46" s="28"/>
      <c r="I46" s="5"/>
      <c r="J46" s="5"/>
      <c r="K46" s="5"/>
    </row>
    <row r="47" spans="1:11" ht="54.75" customHeight="1" x14ac:dyDescent="0.2">
      <c r="A47" s="27"/>
      <c r="B47" s="162" t="s">
        <v>411</v>
      </c>
      <c r="C47" s="162"/>
      <c r="D47" s="162"/>
      <c r="E47" s="162"/>
      <c r="F47" s="162"/>
      <c r="G47" s="25" t="s">
        <v>338</v>
      </c>
      <c r="H47" s="28"/>
      <c r="I47" s="5"/>
      <c r="J47" s="5"/>
      <c r="K47" s="5"/>
    </row>
    <row r="48" spans="1:11" x14ac:dyDescent="0.2">
      <c r="B48" s="3"/>
      <c r="C48" s="26"/>
      <c r="D48" s="5"/>
      <c r="E48" s="5"/>
      <c r="F48" s="5"/>
      <c r="G48" s="5"/>
      <c r="H48" s="5"/>
      <c r="I48" s="5"/>
      <c r="J48" s="5"/>
      <c r="K48" s="5"/>
    </row>
    <row r="49" spans="1:11" x14ac:dyDescent="0.2">
      <c r="A49" s="150" t="s">
        <v>192</v>
      </c>
      <c r="B49" s="151"/>
      <c r="C49" s="152"/>
      <c r="D49" s="153"/>
      <c r="E49" s="154"/>
      <c r="F49" s="155" t="s">
        <v>178</v>
      </c>
      <c r="G49" s="156"/>
      <c r="H49" s="157"/>
      <c r="I49" s="152"/>
      <c r="J49" s="153"/>
      <c r="K49" s="158"/>
    </row>
  </sheetData>
  <customSheetViews>
    <customSheetView guid="{D0B43696-C677-428B-89B5-FA762F48CCFE}" showPageBreaks="1" view="pageBreakPreview" topLeftCell="A19">
      <selection activeCell="B48" sqref="B48:F48"/>
      <pageMargins left="0.75" right="0.75" top="1" bottom="1" header="0.5" footer="0.5"/>
      <pageSetup paperSize="9" scale="56" orientation="portrait" r:id="rId1"/>
      <headerFooter alignWithMargins="0"/>
    </customSheetView>
    <customSheetView guid="{1A0A59C7-6CA7-4317-90A9-40DF16B65ADD}" showPageBreaks="1" view="pageBreakPreview" topLeftCell="A19">
      <selection activeCell="B48" sqref="B48:F48"/>
      <pageMargins left="0.75" right="0.75" top="1" bottom="1" header="0.5" footer="0.5"/>
      <pageSetup paperSize="9" scale="56" orientation="portrait" r:id="rId2"/>
      <headerFooter alignWithMargins="0"/>
    </customSheetView>
  </customSheetViews>
  <mergeCells count="9">
    <mergeCell ref="A4:B4"/>
    <mergeCell ref="C4:K4"/>
    <mergeCell ref="B6:K6"/>
    <mergeCell ref="B46:F46"/>
    <mergeCell ref="I49:K49"/>
    <mergeCell ref="B47:F47"/>
    <mergeCell ref="A49:B49"/>
    <mergeCell ref="C49:E49"/>
    <mergeCell ref="F49:H49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6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Arkusz51"/>
  <dimension ref="A2:K17"/>
  <sheetViews>
    <sheetView view="pageBreakPreview" zoomScaleNormal="100" workbookViewId="0">
      <selection activeCell="C17" sqref="C17:E17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50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410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24">
        <v>1</v>
      </c>
      <c r="B9" s="24" t="str">
        <f>"Trend-ICU (PR-902-020)"</f>
        <v>Trend-ICU (PR-902-020)</v>
      </c>
      <c r="C9" s="51" t="s">
        <v>77</v>
      </c>
      <c r="D9" s="25">
        <v>2014</v>
      </c>
      <c r="E9" s="41">
        <v>44902</v>
      </c>
      <c r="F9" s="25"/>
      <c r="G9" s="25"/>
      <c r="H9" s="25"/>
      <c r="I9" s="5"/>
      <c r="J9" s="5"/>
      <c r="K9" s="5"/>
    </row>
    <row r="10" spans="1:11" x14ac:dyDescent="0.2">
      <c r="A10" s="24">
        <v>2</v>
      </c>
      <c r="B10" s="24" t="str">
        <f>"Trend-ICU (PR-902-020)"</f>
        <v>Trend-ICU (PR-902-020)</v>
      </c>
      <c r="C10" s="51" t="s">
        <v>78</v>
      </c>
      <c r="D10" s="25">
        <v>2014</v>
      </c>
      <c r="E10" s="41">
        <v>44902</v>
      </c>
      <c r="F10" s="25"/>
      <c r="G10" s="25"/>
      <c r="H10" s="25"/>
      <c r="I10" s="5"/>
      <c r="J10" s="5"/>
      <c r="K10" s="5"/>
    </row>
    <row r="11" spans="1:11" x14ac:dyDescent="0.2">
      <c r="A11" s="24">
        <v>3</v>
      </c>
      <c r="B11" s="24" t="str">
        <f>"Trend-ICU (PR-902-020)"</f>
        <v>Trend-ICU (PR-902-020)</v>
      </c>
      <c r="C11" s="51" t="s">
        <v>79</v>
      </c>
      <c r="D11" s="25">
        <v>2014</v>
      </c>
      <c r="E11" s="41">
        <v>44902</v>
      </c>
      <c r="F11" s="25"/>
      <c r="G11" s="25"/>
      <c r="H11" s="25"/>
      <c r="I11" s="5"/>
      <c r="J11" s="5"/>
      <c r="K11" s="5"/>
    </row>
    <row r="12" spans="1:11" x14ac:dyDescent="0.2">
      <c r="A12" s="24">
        <v>4</v>
      </c>
      <c r="B12" s="24" t="str">
        <f>"Trend-ICU (PR-902-020)"</f>
        <v>Trend-ICU (PR-902-020)</v>
      </c>
      <c r="C12" s="51" t="s">
        <v>80</v>
      </c>
      <c r="D12" s="25">
        <v>2014</v>
      </c>
      <c r="E12" s="41">
        <v>44902</v>
      </c>
      <c r="F12" s="25"/>
      <c r="G12" s="25"/>
      <c r="H12" s="25"/>
      <c r="I12" s="5"/>
      <c r="J12" s="5"/>
      <c r="K12" s="5"/>
    </row>
    <row r="13" spans="1:11" x14ac:dyDescent="0.2">
      <c r="A13" s="24">
        <v>5</v>
      </c>
      <c r="B13" s="24" t="str">
        <f>"Trend-ICU (PR-902-020)"</f>
        <v>Trend-ICU (PR-902-020)</v>
      </c>
      <c r="C13" s="51" t="s">
        <v>81</v>
      </c>
      <c r="D13" s="25">
        <v>2014</v>
      </c>
      <c r="E13" s="41">
        <v>44902</v>
      </c>
      <c r="F13" s="25"/>
      <c r="G13" s="25"/>
      <c r="H13" s="25"/>
      <c r="I13" s="5"/>
      <c r="J13" s="5"/>
      <c r="K13" s="5"/>
    </row>
    <row r="14" spans="1:11" ht="105.75" customHeight="1" x14ac:dyDescent="0.2">
      <c r="A14" s="27"/>
      <c r="B14" s="167" t="s">
        <v>412</v>
      </c>
      <c r="C14" s="168"/>
      <c r="D14" s="168"/>
      <c r="E14" s="168"/>
      <c r="F14" s="169"/>
      <c r="G14" s="31" t="s">
        <v>338</v>
      </c>
      <c r="H14" s="28"/>
      <c r="I14" s="5"/>
      <c r="J14" s="5"/>
      <c r="K14" s="5"/>
    </row>
    <row r="15" spans="1:11" ht="66.75" customHeight="1" x14ac:dyDescent="0.2">
      <c r="A15" s="27"/>
      <c r="B15" s="162" t="s">
        <v>411</v>
      </c>
      <c r="C15" s="162"/>
      <c r="D15" s="162"/>
      <c r="E15" s="162"/>
      <c r="F15" s="162"/>
      <c r="G15" s="25" t="s">
        <v>338</v>
      </c>
      <c r="H15" s="28"/>
      <c r="I15" s="5"/>
      <c r="J15" s="5"/>
      <c r="K15" s="5"/>
    </row>
    <row r="16" spans="1:11" x14ac:dyDescent="0.2">
      <c r="B16" s="3"/>
      <c r="C16" s="26"/>
      <c r="D16" s="5"/>
      <c r="E16" s="5"/>
      <c r="F16" s="5"/>
      <c r="G16" s="5"/>
      <c r="H16" s="5"/>
      <c r="I16" s="5"/>
      <c r="J16" s="5"/>
      <c r="K16" s="5"/>
    </row>
    <row r="17" spans="1:11" x14ac:dyDescent="0.2">
      <c r="A17" s="150" t="s">
        <v>192</v>
      </c>
      <c r="B17" s="151"/>
      <c r="C17" s="152"/>
      <c r="D17" s="153"/>
      <c r="E17" s="154"/>
      <c r="F17" s="155" t="s">
        <v>178</v>
      </c>
      <c r="G17" s="156"/>
      <c r="H17" s="157"/>
      <c r="I17" s="152"/>
      <c r="J17" s="153"/>
      <c r="K17" s="158"/>
    </row>
  </sheetData>
  <customSheetViews>
    <customSheetView guid="{D0B43696-C677-428B-89B5-FA762F48CCFE}" showPageBreaks="1" view="pageBreakPreview">
      <selection activeCell="H9" sqref="H9:H13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H9" sqref="H9:H13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4:F14"/>
    <mergeCell ref="I17:K17"/>
    <mergeCell ref="B15:F15"/>
    <mergeCell ref="A17:B17"/>
    <mergeCell ref="C17:E17"/>
    <mergeCell ref="F17:H17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Arkusz52"/>
  <dimension ref="A2:K16"/>
  <sheetViews>
    <sheetView view="pageBreakPreview" topLeftCell="A13" zoomScaleNormal="100" workbookViewId="0">
      <selection activeCell="C16" sqref="C16:E16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51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526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24">
        <v>1</v>
      </c>
      <c r="B9" s="24" t="s">
        <v>527</v>
      </c>
      <c r="C9" s="25" t="s">
        <v>528</v>
      </c>
      <c r="D9" s="25">
        <v>2014</v>
      </c>
      <c r="E9" s="41">
        <v>44880</v>
      </c>
      <c r="F9" s="25"/>
      <c r="G9" s="25"/>
      <c r="H9" s="25"/>
      <c r="I9" s="5"/>
      <c r="J9" s="5"/>
      <c r="K9" s="5"/>
    </row>
    <row r="10" spans="1:11" x14ac:dyDescent="0.2">
      <c r="A10" s="24">
        <v>2</v>
      </c>
      <c r="B10" s="24" t="s">
        <v>529</v>
      </c>
      <c r="C10" s="25" t="s">
        <v>531</v>
      </c>
      <c r="D10" s="25">
        <v>2014</v>
      </c>
      <c r="E10" s="41">
        <v>44880</v>
      </c>
      <c r="F10" s="25"/>
      <c r="G10" s="25"/>
      <c r="H10" s="25"/>
      <c r="I10" s="5"/>
      <c r="J10" s="5"/>
      <c r="K10" s="5"/>
    </row>
    <row r="11" spans="1:11" x14ac:dyDescent="0.2">
      <c r="A11" s="24">
        <v>3</v>
      </c>
      <c r="B11" s="24" t="s">
        <v>532</v>
      </c>
      <c r="C11" s="25" t="s">
        <v>534</v>
      </c>
      <c r="D11" s="25">
        <v>2014</v>
      </c>
      <c r="E11" s="41">
        <v>44880</v>
      </c>
      <c r="F11" s="25"/>
      <c r="G11" s="25"/>
      <c r="H11" s="25"/>
      <c r="I11" s="5"/>
      <c r="J11" s="5"/>
      <c r="K11" s="5"/>
    </row>
    <row r="12" spans="1:11" x14ac:dyDescent="0.2">
      <c r="A12" s="24">
        <v>4</v>
      </c>
      <c r="B12" s="24" t="s">
        <v>533</v>
      </c>
      <c r="C12" s="25" t="s">
        <v>535</v>
      </c>
      <c r="D12" s="25">
        <v>2014</v>
      </c>
      <c r="E12" s="41">
        <v>44880</v>
      </c>
      <c r="F12" s="25"/>
      <c r="G12" s="25"/>
      <c r="H12" s="25"/>
      <c r="I12" s="5"/>
      <c r="J12" s="5"/>
      <c r="K12" s="5"/>
    </row>
    <row r="13" spans="1:11" ht="196.9" customHeight="1" x14ac:dyDescent="0.2">
      <c r="A13" s="27"/>
      <c r="B13" s="159" t="s">
        <v>69</v>
      </c>
      <c r="C13" s="159"/>
      <c r="D13" s="159"/>
      <c r="E13" s="159"/>
      <c r="F13" s="159"/>
      <c r="G13" s="31" t="s">
        <v>338</v>
      </c>
      <c r="H13" s="28"/>
      <c r="I13" s="5"/>
      <c r="J13" s="5"/>
      <c r="K13" s="5"/>
    </row>
    <row r="14" spans="1:11" ht="108.75" customHeight="1" x14ac:dyDescent="0.2">
      <c r="A14" s="27"/>
      <c r="B14" s="162" t="s">
        <v>75</v>
      </c>
      <c r="C14" s="162"/>
      <c r="D14" s="162"/>
      <c r="E14" s="162"/>
      <c r="F14" s="162"/>
      <c r="G14" s="25" t="s">
        <v>338</v>
      </c>
      <c r="H14" s="28"/>
      <c r="I14" s="5"/>
      <c r="J14" s="5"/>
      <c r="K14" s="5"/>
    </row>
    <row r="15" spans="1:11" x14ac:dyDescent="0.2">
      <c r="B15" s="3"/>
      <c r="C15" s="26"/>
      <c r="D15" s="5"/>
      <c r="E15" s="5"/>
      <c r="F15" s="5"/>
      <c r="G15" s="5"/>
      <c r="H15" s="5"/>
      <c r="I15" s="5"/>
      <c r="J15" s="5"/>
      <c r="K15" s="5"/>
    </row>
    <row r="16" spans="1:11" x14ac:dyDescent="0.2">
      <c r="A16" s="150" t="s">
        <v>192</v>
      </c>
      <c r="B16" s="151"/>
      <c r="C16" s="152"/>
      <c r="D16" s="153"/>
      <c r="E16" s="154"/>
      <c r="F16" s="155" t="s">
        <v>178</v>
      </c>
      <c r="G16" s="156"/>
      <c r="H16" s="157"/>
      <c r="I16" s="152"/>
      <c r="J16" s="153"/>
      <c r="K16" s="158"/>
    </row>
  </sheetData>
  <customSheetViews>
    <customSheetView guid="{D0B43696-C677-428B-89B5-FA762F48CCFE}" showPageBreaks="1" view="pageBreakPreview">
      <selection activeCell="E9" sqref="E9:E12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E9" sqref="E9:E12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3:F13"/>
    <mergeCell ref="I16:K16"/>
    <mergeCell ref="B14:F14"/>
    <mergeCell ref="A16:B16"/>
    <mergeCell ref="C16:E16"/>
    <mergeCell ref="F16:H16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Arkusz53"/>
  <dimension ref="A2:K13"/>
  <sheetViews>
    <sheetView view="pageBreakPreview" topLeftCell="A4" zoomScaleNormal="100" workbookViewId="0">
      <selection activeCell="B11" sqref="B11:F11"/>
    </sheetView>
  </sheetViews>
  <sheetFormatPr defaultRowHeight="12.75" x14ac:dyDescent="0.2"/>
  <cols>
    <col min="1" max="1" width="4.28515625" customWidth="1"/>
    <col min="2" max="2" width="19.42578125" customWidth="1"/>
    <col min="3" max="3" width="8.85546875" customWidth="1"/>
    <col min="4" max="4" width="12.28515625" customWidth="1"/>
    <col min="5" max="5" width="12.42578125" customWidth="1"/>
    <col min="6" max="6" width="14.7109375" customWidth="1"/>
    <col min="7" max="7" width="12" customWidth="1"/>
    <col min="8" max="8" width="16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52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494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145" t="s">
        <v>676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24">
        <v>1</v>
      </c>
      <c r="B9" s="24" t="s">
        <v>364</v>
      </c>
      <c r="C9" s="25" t="s">
        <v>365</v>
      </c>
      <c r="D9" s="25">
        <v>2007</v>
      </c>
      <c r="E9" s="41">
        <v>44741</v>
      </c>
      <c r="F9" s="25"/>
      <c r="G9" s="25"/>
      <c r="H9" s="25"/>
      <c r="I9" s="5"/>
      <c r="J9" s="5"/>
      <c r="K9" s="5"/>
    </row>
    <row r="10" spans="1:11" ht="126.75" customHeight="1" x14ac:dyDescent="0.2">
      <c r="A10" s="27"/>
      <c r="B10" s="159" t="s">
        <v>366</v>
      </c>
      <c r="C10" s="159"/>
      <c r="D10" s="159"/>
      <c r="E10" s="159"/>
      <c r="F10" s="159"/>
      <c r="G10" s="25" t="s">
        <v>338</v>
      </c>
      <c r="H10" s="28"/>
      <c r="I10" s="5"/>
      <c r="J10" s="5"/>
      <c r="K10" s="5"/>
    </row>
    <row r="11" spans="1:11" ht="69" customHeight="1" x14ac:dyDescent="0.2">
      <c r="A11" s="27"/>
      <c r="B11" s="159" t="s">
        <v>402</v>
      </c>
      <c r="C11" s="159"/>
      <c r="D11" s="159"/>
      <c r="E11" s="159"/>
      <c r="F11" s="159"/>
      <c r="G11" s="25" t="s">
        <v>338</v>
      </c>
      <c r="H11" s="28"/>
      <c r="I11" s="5"/>
      <c r="J11" s="5"/>
      <c r="K11" s="5"/>
    </row>
    <row r="12" spans="1:11" x14ac:dyDescent="0.2">
      <c r="A12" s="27"/>
      <c r="B12" s="27"/>
      <c r="C12" s="28"/>
      <c r="D12" s="28"/>
      <c r="E12" s="28"/>
      <c r="F12" s="28"/>
      <c r="G12" s="28"/>
      <c r="H12" s="28"/>
      <c r="I12" s="5"/>
      <c r="J12" s="5"/>
      <c r="K12" s="5"/>
    </row>
    <row r="13" spans="1:11" x14ac:dyDescent="0.2">
      <c r="A13" s="150" t="s">
        <v>177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</sheetData>
  <customSheetViews>
    <customSheetView guid="{D0B43696-C677-428B-89B5-FA762F48CCFE}" showPageBreaks="1" view="pageBreakPreview">
      <selection activeCell="J8" sqref="J8"/>
      <pageMargins left="0.75" right="0.75" top="1" bottom="1" header="0.5" footer="0.5"/>
      <pageSetup paperSize="9" scale="60" orientation="portrait" r:id="rId1"/>
      <headerFooter alignWithMargins="0"/>
    </customSheetView>
    <customSheetView guid="{1A0A59C7-6CA7-4317-90A9-40DF16B65ADD}" showPageBreaks="1" view="pageBreakPreview">
      <selection activeCell="J8" sqref="J8"/>
      <pageMargins left="0.75" right="0.75" top="1" bottom="1" header="0.5" footer="0.5"/>
      <pageSetup paperSize="9" scale="60" orientation="portrait" r:id="rId2"/>
      <headerFooter alignWithMargins="0"/>
    </customSheetView>
  </customSheetViews>
  <mergeCells count="9">
    <mergeCell ref="A4:B4"/>
    <mergeCell ref="C4:K4"/>
    <mergeCell ref="A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60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Arkusz54"/>
  <dimension ref="A2:K77"/>
  <sheetViews>
    <sheetView view="pageBreakPreview" topLeftCell="A64" zoomScaleNormal="100" workbookViewId="0">
      <selection activeCell="C77" sqref="C77:E77"/>
    </sheetView>
  </sheetViews>
  <sheetFormatPr defaultRowHeight="12.75" x14ac:dyDescent="0.2"/>
  <cols>
    <col min="1" max="1" width="4.28515625" customWidth="1"/>
    <col min="2" max="2" width="19.42578125" customWidth="1"/>
    <col min="3" max="3" width="14.85546875" bestFit="1" customWidth="1"/>
    <col min="4" max="4" width="12.28515625" customWidth="1"/>
    <col min="5" max="5" width="12.42578125" customWidth="1"/>
    <col min="6" max="6" width="14.7109375" customWidth="1"/>
    <col min="7" max="7" width="12" customWidth="1"/>
    <col min="8" max="8" width="16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53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195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145" t="s">
        <v>676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24">
        <v>1</v>
      </c>
      <c r="B9" s="47" t="s">
        <v>196</v>
      </c>
      <c r="C9" s="47" t="s">
        <v>197</v>
      </c>
      <c r="D9" s="47">
        <v>2003</v>
      </c>
      <c r="E9" s="52">
        <v>44907</v>
      </c>
      <c r="F9" s="25"/>
      <c r="G9" s="25"/>
      <c r="H9" s="25"/>
      <c r="I9" s="5"/>
      <c r="J9" s="5"/>
      <c r="K9" s="5"/>
    </row>
    <row r="10" spans="1:11" x14ac:dyDescent="0.2">
      <c r="A10" s="24">
        <v>2</v>
      </c>
      <c r="B10" s="47" t="s">
        <v>196</v>
      </c>
      <c r="C10" s="47" t="s">
        <v>198</v>
      </c>
      <c r="D10" s="47">
        <v>2008</v>
      </c>
      <c r="E10" s="52">
        <v>44907</v>
      </c>
      <c r="F10" s="25"/>
      <c r="G10" s="25"/>
      <c r="H10" s="25"/>
      <c r="I10" s="5"/>
      <c r="J10" s="5"/>
      <c r="K10" s="5"/>
    </row>
    <row r="11" spans="1:11" x14ac:dyDescent="0.2">
      <c r="A11" s="24">
        <v>3</v>
      </c>
      <c r="B11" s="47" t="s">
        <v>196</v>
      </c>
      <c r="C11" s="47" t="s">
        <v>199</v>
      </c>
      <c r="D11" s="47">
        <v>2008</v>
      </c>
      <c r="E11" s="52">
        <v>44907</v>
      </c>
      <c r="F11" s="25"/>
      <c r="G11" s="25"/>
      <c r="H11" s="25"/>
      <c r="I11" s="5"/>
      <c r="J11" s="5"/>
      <c r="K11" s="5"/>
    </row>
    <row r="12" spans="1:11" x14ac:dyDescent="0.2">
      <c r="A12" s="24">
        <v>4</v>
      </c>
      <c r="B12" s="47" t="s">
        <v>196</v>
      </c>
      <c r="C12" s="47" t="s">
        <v>200</v>
      </c>
      <c r="D12" s="47">
        <v>2010</v>
      </c>
      <c r="E12" s="52">
        <v>44907</v>
      </c>
      <c r="F12" s="25"/>
      <c r="G12" s="25"/>
      <c r="H12" s="25"/>
      <c r="I12" s="5"/>
      <c r="J12" s="5"/>
      <c r="K12" s="5"/>
    </row>
    <row r="13" spans="1:11" x14ac:dyDescent="0.2">
      <c r="A13" s="24">
        <v>5</v>
      </c>
      <c r="B13" s="47" t="s">
        <v>201</v>
      </c>
      <c r="C13" s="47" t="s">
        <v>202</v>
      </c>
      <c r="D13" s="47">
        <v>2013</v>
      </c>
      <c r="E13" s="52">
        <v>44907</v>
      </c>
      <c r="F13" s="25"/>
      <c r="G13" s="25"/>
      <c r="H13" s="25"/>
      <c r="I13" s="5"/>
      <c r="J13" s="5"/>
      <c r="K13" s="5"/>
    </row>
    <row r="14" spans="1:11" x14ac:dyDescent="0.2">
      <c r="A14" s="24">
        <v>6</v>
      </c>
      <c r="B14" s="47" t="s">
        <v>203</v>
      </c>
      <c r="C14" s="47" t="s">
        <v>204</v>
      </c>
      <c r="D14" s="47">
        <v>2002</v>
      </c>
      <c r="E14" s="52">
        <v>44907</v>
      </c>
      <c r="F14" s="25"/>
      <c r="G14" s="25"/>
      <c r="H14" s="25"/>
      <c r="I14" s="5"/>
      <c r="J14" s="5"/>
      <c r="K14" s="5"/>
    </row>
    <row r="15" spans="1:11" x14ac:dyDescent="0.2">
      <c r="A15" s="24">
        <v>7</v>
      </c>
      <c r="B15" s="47" t="s">
        <v>203</v>
      </c>
      <c r="C15" s="47" t="s">
        <v>205</v>
      </c>
      <c r="D15" s="47">
        <v>2002</v>
      </c>
      <c r="E15" s="52">
        <v>44907</v>
      </c>
      <c r="F15" s="25"/>
      <c r="G15" s="25"/>
      <c r="H15" s="25"/>
      <c r="I15" s="5"/>
      <c r="J15" s="5"/>
      <c r="K15" s="5"/>
    </row>
    <row r="16" spans="1:11" x14ac:dyDescent="0.2">
      <c r="A16" s="24">
        <v>8</v>
      </c>
      <c r="B16" s="47" t="s">
        <v>206</v>
      </c>
      <c r="C16" s="47" t="s">
        <v>207</v>
      </c>
      <c r="D16" s="47">
        <v>2006</v>
      </c>
      <c r="E16" s="52">
        <v>44907</v>
      </c>
      <c r="F16" s="25"/>
      <c r="G16" s="25"/>
      <c r="H16" s="25"/>
      <c r="I16" s="5"/>
      <c r="J16" s="5"/>
      <c r="K16" s="5"/>
    </row>
    <row r="17" spans="1:11" x14ac:dyDescent="0.2">
      <c r="A17" s="24">
        <v>9</v>
      </c>
      <c r="B17" s="47" t="s">
        <v>206</v>
      </c>
      <c r="C17" s="47" t="s">
        <v>208</v>
      </c>
      <c r="D17" s="47">
        <v>2006</v>
      </c>
      <c r="E17" s="52">
        <v>44907</v>
      </c>
      <c r="F17" s="25"/>
      <c r="G17" s="25"/>
      <c r="H17" s="25"/>
      <c r="I17" s="5"/>
      <c r="J17" s="5"/>
      <c r="K17" s="5"/>
    </row>
    <row r="18" spans="1:11" x14ac:dyDescent="0.2">
      <c r="A18" s="24">
        <v>10</v>
      </c>
      <c r="B18" s="47" t="s">
        <v>206</v>
      </c>
      <c r="C18" s="47" t="s">
        <v>209</v>
      </c>
      <c r="D18" s="47">
        <v>2008</v>
      </c>
      <c r="E18" s="52">
        <v>44907</v>
      </c>
      <c r="F18" s="25"/>
      <c r="G18" s="25"/>
      <c r="H18" s="25"/>
      <c r="I18" s="5"/>
      <c r="J18" s="5"/>
      <c r="K18" s="5"/>
    </row>
    <row r="19" spans="1:11" x14ac:dyDescent="0.2">
      <c r="A19" s="24">
        <v>11</v>
      </c>
      <c r="B19" s="47" t="s">
        <v>210</v>
      </c>
      <c r="C19" s="47" t="s">
        <v>211</v>
      </c>
      <c r="D19" s="47">
        <v>2006</v>
      </c>
      <c r="E19" s="52">
        <v>44907</v>
      </c>
      <c r="F19" s="25"/>
      <c r="G19" s="25"/>
      <c r="H19" s="25"/>
      <c r="I19" s="5"/>
      <c r="J19" s="5"/>
      <c r="K19" s="5"/>
    </row>
    <row r="20" spans="1:11" x14ac:dyDescent="0.2">
      <c r="A20" s="24">
        <v>12</v>
      </c>
      <c r="B20" s="47" t="s">
        <v>212</v>
      </c>
      <c r="C20" s="47" t="s">
        <v>213</v>
      </c>
      <c r="D20" s="47">
        <v>2010</v>
      </c>
      <c r="E20" s="52">
        <v>44907</v>
      </c>
      <c r="F20" s="25"/>
      <c r="G20" s="25"/>
      <c r="H20" s="25"/>
      <c r="I20" s="5"/>
      <c r="J20" s="5"/>
      <c r="K20" s="5"/>
    </row>
    <row r="21" spans="1:11" x14ac:dyDescent="0.2">
      <c r="A21" s="24">
        <v>13</v>
      </c>
      <c r="B21" s="47" t="s">
        <v>214</v>
      </c>
      <c r="C21" s="47" t="s">
        <v>215</v>
      </c>
      <c r="D21" s="47">
        <v>2007</v>
      </c>
      <c r="E21" s="52">
        <v>44907</v>
      </c>
      <c r="F21" s="25"/>
      <c r="G21" s="25"/>
      <c r="H21" s="25"/>
      <c r="I21" s="5"/>
      <c r="J21" s="5"/>
      <c r="K21" s="5"/>
    </row>
    <row r="22" spans="1:11" x14ac:dyDescent="0.2">
      <c r="A22" s="24">
        <v>14</v>
      </c>
      <c r="B22" s="47" t="s">
        <v>214</v>
      </c>
      <c r="C22" s="47" t="s">
        <v>216</v>
      </c>
      <c r="D22" s="47">
        <v>2010</v>
      </c>
      <c r="E22" s="52">
        <v>44907</v>
      </c>
      <c r="F22" s="25"/>
      <c r="G22" s="25"/>
      <c r="H22" s="25"/>
      <c r="I22" s="5"/>
      <c r="J22" s="5"/>
      <c r="K22" s="5"/>
    </row>
    <row r="23" spans="1:11" x14ac:dyDescent="0.2">
      <c r="A23" s="24">
        <v>15</v>
      </c>
      <c r="B23" s="47" t="s">
        <v>214</v>
      </c>
      <c r="C23" s="47" t="s">
        <v>217</v>
      </c>
      <c r="D23" s="47">
        <v>2012</v>
      </c>
      <c r="E23" s="52">
        <v>44907</v>
      </c>
      <c r="F23" s="25"/>
      <c r="G23" s="25"/>
      <c r="H23" s="25"/>
      <c r="I23" s="5"/>
      <c r="J23" s="5"/>
      <c r="K23" s="5"/>
    </row>
    <row r="24" spans="1:11" x14ac:dyDescent="0.2">
      <c r="A24" s="24">
        <v>16</v>
      </c>
      <c r="B24" s="47" t="s">
        <v>214</v>
      </c>
      <c r="C24" s="47" t="s">
        <v>218</v>
      </c>
      <c r="D24" s="47">
        <v>2012</v>
      </c>
      <c r="E24" s="52">
        <v>44907</v>
      </c>
      <c r="F24" s="25"/>
      <c r="G24" s="25"/>
      <c r="H24" s="25"/>
      <c r="I24" s="5"/>
      <c r="J24" s="5"/>
      <c r="K24" s="5"/>
    </row>
    <row r="25" spans="1:11" x14ac:dyDescent="0.2">
      <c r="A25" s="24">
        <v>17</v>
      </c>
      <c r="B25" s="47" t="s">
        <v>214</v>
      </c>
      <c r="C25" s="47" t="s">
        <v>219</v>
      </c>
      <c r="D25" s="47">
        <v>2013</v>
      </c>
      <c r="E25" s="52">
        <v>44907</v>
      </c>
      <c r="F25" s="25"/>
      <c r="G25" s="25"/>
      <c r="H25" s="25"/>
      <c r="I25" s="5"/>
      <c r="J25" s="5"/>
      <c r="K25" s="5"/>
    </row>
    <row r="26" spans="1:11" x14ac:dyDescent="0.2">
      <c r="A26" s="24">
        <v>18</v>
      </c>
      <c r="B26" s="47" t="s">
        <v>220</v>
      </c>
      <c r="C26" s="47" t="s">
        <v>221</v>
      </c>
      <c r="D26" s="47">
        <v>2012</v>
      </c>
      <c r="E26" s="52">
        <v>44907</v>
      </c>
      <c r="F26" s="25"/>
      <c r="G26" s="25"/>
      <c r="H26" s="25"/>
      <c r="I26" s="5"/>
      <c r="J26" s="5"/>
      <c r="K26" s="5"/>
    </row>
    <row r="27" spans="1:11" x14ac:dyDescent="0.2">
      <c r="A27" s="24">
        <v>19</v>
      </c>
      <c r="B27" s="47" t="s">
        <v>222</v>
      </c>
      <c r="C27" s="47" t="s">
        <v>223</v>
      </c>
      <c r="D27" s="47">
        <v>2008</v>
      </c>
      <c r="E27" s="52">
        <v>44907</v>
      </c>
      <c r="F27" s="25"/>
      <c r="G27" s="25"/>
      <c r="H27" s="25"/>
      <c r="I27" s="5"/>
      <c r="J27" s="5"/>
      <c r="K27" s="5"/>
    </row>
    <row r="28" spans="1:11" x14ac:dyDescent="0.2">
      <c r="A28" s="24">
        <v>20</v>
      </c>
      <c r="B28" s="47" t="s">
        <v>224</v>
      </c>
      <c r="C28" s="47" t="s">
        <v>225</v>
      </c>
      <c r="D28" s="47">
        <v>2008</v>
      </c>
      <c r="E28" s="52">
        <v>44907</v>
      </c>
      <c r="F28" s="25"/>
      <c r="G28" s="25"/>
      <c r="H28" s="25"/>
      <c r="I28" s="5"/>
      <c r="J28" s="5"/>
      <c r="K28" s="5"/>
    </row>
    <row r="29" spans="1:11" x14ac:dyDescent="0.2">
      <c r="A29" s="24">
        <v>21</v>
      </c>
      <c r="B29" s="47" t="s">
        <v>224</v>
      </c>
      <c r="C29" s="47" t="s">
        <v>226</v>
      </c>
      <c r="D29" s="47">
        <v>2008</v>
      </c>
      <c r="E29" s="52">
        <v>44907</v>
      </c>
      <c r="F29" s="25"/>
      <c r="G29" s="25"/>
      <c r="H29" s="25"/>
      <c r="I29" s="5"/>
      <c r="J29" s="5"/>
      <c r="K29" s="5"/>
    </row>
    <row r="30" spans="1:11" x14ac:dyDescent="0.2">
      <c r="A30" s="24">
        <v>22</v>
      </c>
      <c r="B30" s="47" t="s">
        <v>224</v>
      </c>
      <c r="C30" s="47" t="s">
        <v>227</v>
      </c>
      <c r="D30" s="47">
        <v>2011</v>
      </c>
      <c r="E30" s="52">
        <v>44907</v>
      </c>
      <c r="F30" s="25"/>
      <c r="G30" s="25"/>
      <c r="H30" s="25"/>
      <c r="I30" s="5"/>
      <c r="J30" s="5"/>
      <c r="K30" s="5"/>
    </row>
    <row r="31" spans="1:11" x14ac:dyDescent="0.2">
      <c r="A31" s="24">
        <v>23</v>
      </c>
      <c r="B31" s="47" t="s">
        <v>224</v>
      </c>
      <c r="C31" s="47" t="s">
        <v>228</v>
      </c>
      <c r="D31" s="47">
        <v>2012</v>
      </c>
      <c r="E31" s="52">
        <v>44907</v>
      </c>
      <c r="F31" s="25"/>
      <c r="G31" s="25"/>
      <c r="H31" s="25"/>
      <c r="I31" s="5"/>
      <c r="J31" s="5"/>
      <c r="K31" s="5"/>
    </row>
    <row r="32" spans="1:11" x14ac:dyDescent="0.2">
      <c r="A32" s="24">
        <v>24</v>
      </c>
      <c r="B32" s="47" t="s">
        <v>229</v>
      </c>
      <c r="C32" s="47" t="s">
        <v>230</v>
      </c>
      <c r="D32" s="47">
        <v>2008</v>
      </c>
      <c r="E32" s="52">
        <v>44907</v>
      </c>
      <c r="F32" s="25"/>
      <c r="G32" s="25"/>
      <c r="H32" s="25"/>
      <c r="I32" s="5"/>
      <c r="J32" s="5"/>
      <c r="K32" s="5"/>
    </row>
    <row r="33" spans="1:11" x14ac:dyDescent="0.2">
      <c r="A33" s="24">
        <v>25</v>
      </c>
      <c r="B33" s="47" t="s">
        <v>229</v>
      </c>
      <c r="C33" s="47" t="s">
        <v>231</v>
      </c>
      <c r="D33" s="47">
        <v>2009</v>
      </c>
      <c r="E33" s="52">
        <v>44907</v>
      </c>
      <c r="F33" s="25"/>
      <c r="G33" s="25"/>
      <c r="H33" s="25"/>
      <c r="I33" s="5"/>
      <c r="J33" s="5"/>
      <c r="K33" s="5"/>
    </row>
    <row r="34" spans="1:11" x14ac:dyDescent="0.2">
      <c r="A34" s="24">
        <v>26</v>
      </c>
      <c r="B34" s="47" t="s">
        <v>229</v>
      </c>
      <c r="C34" s="47" t="s">
        <v>232</v>
      </c>
      <c r="D34" s="47">
        <v>2009</v>
      </c>
      <c r="E34" s="52">
        <v>44907</v>
      </c>
      <c r="F34" s="25"/>
      <c r="G34" s="25"/>
      <c r="H34" s="25"/>
      <c r="I34" s="5"/>
      <c r="J34" s="5"/>
      <c r="K34" s="5"/>
    </row>
    <row r="35" spans="1:11" x14ac:dyDescent="0.2">
      <c r="A35" s="24">
        <v>27</v>
      </c>
      <c r="B35" s="47" t="s">
        <v>229</v>
      </c>
      <c r="C35" s="47" t="s">
        <v>233</v>
      </c>
      <c r="D35" s="47">
        <v>2010</v>
      </c>
      <c r="E35" s="52">
        <v>44907</v>
      </c>
      <c r="F35" s="25"/>
      <c r="G35" s="25"/>
      <c r="H35" s="25"/>
      <c r="I35" s="5"/>
      <c r="J35" s="5"/>
      <c r="K35" s="5"/>
    </row>
    <row r="36" spans="1:11" x14ac:dyDescent="0.2">
      <c r="A36" s="24">
        <v>28</v>
      </c>
      <c r="B36" s="47" t="s">
        <v>229</v>
      </c>
      <c r="C36" s="47" t="s">
        <v>234</v>
      </c>
      <c r="D36" s="47">
        <v>2011</v>
      </c>
      <c r="E36" s="52">
        <v>44907</v>
      </c>
      <c r="F36" s="25"/>
      <c r="G36" s="25"/>
      <c r="H36" s="25"/>
      <c r="I36" s="5"/>
      <c r="J36" s="5"/>
      <c r="K36" s="5"/>
    </row>
    <row r="37" spans="1:11" x14ac:dyDescent="0.2">
      <c r="A37" s="24">
        <v>29</v>
      </c>
      <c r="B37" s="47" t="s">
        <v>229</v>
      </c>
      <c r="C37" s="47" t="s">
        <v>235</v>
      </c>
      <c r="D37" s="47">
        <v>2015</v>
      </c>
      <c r="E37" s="52">
        <v>44907</v>
      </c>
      <c r="F37" s="25"/>
      <c r="G37" s="25"/>
      <c r="H37" s="25"/>
      <c r="I37" s="5"/>
      <c r="J37" s="5"/>
      <c r="K37" s="5"/>
    </row>
    <row r="38" spans="1:11" x14ac:dyDescent="0.2">
      <c r="A38" s="24">
        <v>30</v>
      </c>
      <c r="B38" s="47" t="s">
        <v>229</v>
      </c>
      <c r="C38" s="47" t="s">
        <v>236</v>
      </c>
      <c r="D38" s="47">
        <v>2015</v>
      </c>
      <c r="E38" s="52">
        <v>44907</v>
      </c>
      <c r="F38" s="25"/>
      <c r="G38" s="25"/>
      <c r="H38" s="25"/>
      <c r="I38" s="5"/>
      <c r="J38" s="5"/>
      <c r="K38" s="5"/>
    </row>
    <row r="39" spans="1:11" x14ac:dyDescent="0.2">
      <c r="A39" s="24">
        <v>31</v>
      </c>
      <c r="B39" s="47" t="s">
        <v>237</v>
      </c>
      <c r="C39" s="47" t="s">
        <v>238</v>
      </c>
      <c r="D39" s="47">
        <v>2002</v>
      </c>
      <c r="E39" s="52">
        <v>44907</v>
      </c>
      <c r="F39" s="25"/>
      <c r="G39" s="25"/>
      <c r="H39" s="25"/>
      <c r="I39" s="5"/>
      <c r="J39" s="5"/>
      <c r="K39" s="5"/>
    </row>
    <row r="40" spans="1:11" x14ac:dyDescent="0.2">
      <c r="A40" s="24">
        <v>32</v>
      </c>
      <c r="B40" s="47" t="s">
        <v>237</v>
      </c>
      <c r="C40" s="47" t="s">
        <v>239</v>
      </c>
      <c r="D40" s="47">
        <v>2002</v>
      </c>
      <c r="E40" s="52">
        <v>44907</v>
      </c>
      <c r="F40" s="25"/>
      <c r="G40" s="25"/>
      <c r="H40" s="25"/>
      <c r="I40" s="5"/>
      <c r="J40" s="5"/>
      <c r="K40" s="5"/>
    </row>
    <row r="41" spans="1:11" x14ac:dyDescent="0.2">
      <c r="A41" s="24">
        <v>33</v>
      </c>
      <c r="B41" s="47" t="s">
        <v>240</v>
      </c>
      <c r="C41" s="47" t="s">
        <v>241</v>
      </c>
      <c r="D41" s="47">
        <v>2013</v>
      </c>
      <c r="E41" s="52">
        <v>44907</v>
      </c>
      <c r="F41" s="25"/>
      <c r="G41" s="25"/>
      <c r="H41" s="25"/>
      <c r="I41" s="5"/>
      <c r="J41" s="5"/>
      <c r="K41" s="5"/>
    </row>
    <row r="42" spans="1:11" x14ac:dyDescent="0.2">
      <c r="A42" s="24">
        <v>34</v>
      </c>
      <c r="B42" s="47" t="s">
        <v>242</v>
      </c>
      <c r="C42" s="47" t="s">
        <v>243</v>
      </c>
      <c r="D42" s="47">
        <v>2003</v>
      </c>
      <c r="E42" s="52">
        <v>44907</v>
      </c>
      <c r="F42" s="25"/>
      <c r="G42" s="25"/>
      <c r="H42" s="25"/>
      <c r="I42" s="5"/>
      <c r="J42" s="5"/>
      <c r="K42" s="5"/>
    </row>
    <row r="43" spans="1:11" x14ac:dyDescent="0.2">
      <c r="A43" s="24">
        <v>35</v>
      </c>
      <c r="B43" s="47" t="s">
        <v>242</v>
      </c>
      <c r="C43" s="47" t="s">
        <v>244</v>
      </c>
      <c r="D43" s="47">
        <v>2006</v>
      </c>
      <c r="E43" s="52">
        <v>44907</v>
      </c>
      <c r="F43" s="25"/>
      <c r="G43" s="25"/>
      <c r="H43" s="25"/>
      <c r="I43" s="5"/>
      <c r="J43" s="5"/>
      <c r="K43" s="5"/>
    </row>
    <row r="44" spans="1:11" x14ac:dyDescent="0.2">
      <c r="A44" s="24">
        <v>36</v>
      </c>
      <c r="B44" s="47" t="s">
        <v>242</v>
      </c>
      <c r="C44" s="47" t="s">
        <v>245</v>
      </c>
      <c r="D44" s="47">
        <v>2006</v>
      </c>
      <c r="E44" s="52">
        <v>44907</v>
      </c>
      <c r="F44" s="25"/>
      <c r="G44" s="25"/>
      <c r="H44" s="25"/>
      <c r="I44" s="5"/>
      <c r="J44" s="5"/>
      <c r="K44" s="5"/>
    </row>
    <row r="45" spans="1:11" x14ac:dyDescent="0.2">
      <c r="A45" s="24">
        <v>37</v>
      </c>
      <c r="B45" s="47" t="s">
        <v>242</v>
      </c>
      <c r="C45" s="47" t="s">
        <v>246</v>
      </c>
      <c r="D45" s="47">
        <v>2006</v>
      </c>
      <c r="E45" s="52">
        <v>44907</v>
      </c>
      <c r="F45" s="25"/>
      <c r="G45" s="25"/>
      <c r="H45" s="25"/>
      <c r="I45" s="5"/>
      <c r="J45" s="5"/>
      <c r="K45" s="5"/>
    </row>
    <row r="46" spans="1:11" x14ac:dyDescent="0.2">
      <c r="A46" s="24">
        <v>38</v>
      </c>
      <c r="B46" s="47" t="s">
        <v>242</v>
      </c>
      <c r="C46" s="47" t="s">
        <v>247</v>
      </c>
      <c r="D46" s="47">
        <v>2007</v>
      </c>
      <c r="E46" s="52">
        <v>44907</v>
      </c>
      <c r="F46" s="25"/>
      <c r="G46" s="25"/>
      <c r="H46" s="25"/>
      <c r="I46" s="5"/>
      <c r="J46" s="5"/>
      <c r="K46" s="5"/>
    </row>
    <row r="47" spans="1:11" x14ac:dyDescent="0.2">
      <c r="A47" s="24">
        <v>39</v>
      </c>
      <c r="B47" s="47" t="s">
        <v>242</v>
      </c>
      <c r="C47" s="73">
        <v>1260509</v>
      </c>
      <c r="D47" s="47">
        <v>2008</v>
      </c>
      <c r="E47" s="52">
        <v>44907</v>
      </c>
      <c r="F47" s="25"/>
      <c r="G47" s="25"/>
      <c r="H47" s="25"/>
      <c r="I47" s="5"/>
      <c r="J47" s="5"/>
      <c r="K47" s="5"/>
    </row>
    <row r="48" spans="1:11" x14ac:dyDescent="0.2">
      <c r="A48" s="24">
        <v>40</v>
      </c>
      <c r="B48" s="47" t="s">
        <v>242</v>
      </c>
      <c r="C48" s="47" t="s">
        <v>248</v>
      </c>
      <c r="D48" s="47">
        <v>2008</v>
      </c>
      <c r="E48" s="52">
        <v>44907</v>
      </c>
      <c r="F48" s="25"/>
      <c r="G48" s="25"/>
      <c r="H48" s="25"/>
      <c r="I48" s="5"/>
      <c r="J48" s="5"/>
      <c r="K48" s="5"/>
    </row>
    <row r="49" spans="1:11" x14ac:dyDescent="0.2">
      <c r="A49" s="24">
        <v>41</v>
      </c>
      <c r="B49" s="47" t="s">
        <v>249</v>
      </c>
      <c r="C49" s="47" t="s">
        <v>250</v>
      </c>
      <c r="D49" s="47">
        <v>2012</v>
      </c>
      <c r="E49" s="52">
        <v>44907</v>
      </c>
      <c r="F49" s="25"/>
      <c r="G49" s="25"/>
      <c r="H49" s="25"/>
      <c r="I49" s="5"/>
      <c r="J49" s="5"/>
      <c r="K49" s="5"/>
    </row>
    <row r="50" spans="1:11" x14ac:dyDescent="0.2">
      <c r="A50" s="24">
        <v>42</v>
      </c>
      <c r="B50" s="47" t="s">
        <v>251</v>
      </c>
      <c r="C50" s="47" t="s">
        <v>252</v>
      </c>
      <c r="D50" s="47">
        <v>2006</v>
      </c>
      <c r="E50" s="52">
        <v>44907</v>
      </c>
      <c r="F50" s="25"/>
      <c r="G50" s="25"/>
      <c r="H50" s="25"/>
      <c r="I50" s="5"/>
      <c r="J50" s="5"/>
      <c r="K50" s="5"/>
    </row>
    <row r="51" spans="1:11" x14ac:dyDescent="0.2">
      <c r="A51" s="24">
        <v>43</v>
      </c>
      <c r="B51" s="47" t="s">
        <v>251</v>
      </c>
      <c r="C51" s="47" t="s">
        <v>253</v>
      </c>
      <c r="D51" s="47">
        <v>2006</v>
      </c>
      <c r="E51" s="52">
        <v>44907</v>
      </c>
      <c r="F51" s="25"/>
      <c r="G51" s="25"/>
      <c r="H51" s="25"/>
      <c r="I51" s="5"/>
      <c r="J51" s="5"/>
      <c r="K51" s="5"/>
    </row>
    <row r="52" spans="1:11" x14ac:dyDescent="0.2">
      <c r="A52" s="24">
        <v>44</v>
      </c>
      <c r="B52" s="47" t="s">
        <v>254</v>
      </c>
      <c r="C52" s="47" t="s">
        <v>255</v>
      </c>
      <c r="D52" s="47">
        <v>2014</v>
      </c>
      <c r="E52" s="52">
        <v>44907</v>
      </c>
      <c r="F52" s="25"/>
      <c r="G52" s="25"/>
      <c r="H52" s="25"/>
      <c r="I52" s="5"/>
      <c r="J52" s="5"/>
      <c r="K52" s="5"/>
    </row>
    <row r="53" spans="1:11" x14ac:dyDescent="0.2">
      <c r="A53" s="24">
        <v>45</v>
      </c>
      <c r="B53" s="47" t="s">
        <v>254</v>
      </c>
      <c r="C53" s="47" t="s">
        <v>256</v>
      </c>
      <c r="D53" s="47">
        <v>2014</v>
      </c>
      <c r="E53" s="52">
        <v>44907</v>
      </c>
      <c r="F53" s="25"/>
      <c r="G53" s="25"/>
      <c r="H53" s="25"/>
      <c r="I53" s="5"/>
      <c r="J53" s="5"/>
      <c r="K53" s="5"/>
    </row>
    <row r="54" spans="1:11" x14ac:dyDescent="0.2">
      <c r="A54" s="24">
        <v>46</v>
      </c>
      <c r="B54" s="47" t="s">
        <v>257</v>
      </c>
      <c r="C54" s="47" t="s">
        <v>258</v>
      </c>
      <c r="D54" s="47">
        <v>2010</v>
      </c>
      <c r="E54" s="52">
        <v>44907</v>
      </c>
      <c r="F54" s="25"/>
      <c r="G54" s="25"/>
      <c r="H54" s="25"/>
      <c r="I54" s="5"/>
      <c r="J54" s="5"/>
      <c r="K54" s="5"/>
    </row>
    <row r="55" spans="1:11" x14ac:dyDescent="0.2">
      <c r="A55" s="24">
        <v>47</v>
      </c>
      <c r="B55" s="47" t="s">
        <v>257</v>
      </c>
      <c r="C55" s="47" t="s">
        <v>259</v>
      </c>
      <c r="D55" s="47">
        <v>2010</v>
      </c>
      <c r="E55" s="52">
        <v>44907</v>
      </c>
      <c r="F55" s="25"/>
      <c r="G55" s="25"/>
      <c r="H55" s="25"/>
      <c r="I55" s="5"/>
      <c r="J55" s="5"/>
      <c r="K55" s="5"/>
    </row>
    <row r="56" spans="1:11" x14ac:dyDescent="0.2">
      <c r="A56" s="24">
        <v>48</v>
      </c>
      <c r="B56" s="47" t="s">
        <v>257</v>
      </c>
      <c r="C56" s="47" t="s">
        <v>260</v>
      </c>
      <c r="D56" s="47">
        <v>2010</v>
      </c>
      <c r="E56" s="52">
        <v>44907</v>
      </c>
      <c r="F56" s="25"/>
      <c r="G56" s="25"/>
      <c r="H56" s="25"/>
      <c r="I56" s="5"/>
      <c r="J56" s="5"/>
      <c r="K56" s="5"/>
    </row>
    <row r="57" spans="1:11" x14ac:dyDescent="0.2">
      <c r="A57" s="24">
        <v>49</v>
      </c>
      <c r="B57" s="47" t="s">
        <v>257</v>
      </c>
      <c r="C57" s="47" t="s">
        <v>261</v>
      </c>
      <c r="D57" s="47">
        <v>2010</v>
      </c>
      <c r="E57" s="52">
        <v>44907</v>
      </c>
      <c r="F57" s="25"/>
      <c r="G57" s="25"/>
      <c r="H57" s="25"/>
      <c r="I57" s="5"/>
      <c r="J57" s="5"/>
      <c r="K57" s="5"/>
    </row>
    <row r="58" spans="1:11" x14ac:dyDescent="0.2">
      <c r="A58" s="24">
        <v>50</v>
      </c>
      <c r="B58" s="47" t="s">
        <v>257</v>
      </c>
      <c r="C58" s="47" t="s">
        <v>262</v>
      </c>
      <c r="D58" s="47">
        <v>2010</v>
      </c>
      <c r="E58" s="52">
        <v>44907</v>
      </c>
      <c r="F58" s="25"/>
      <c r="G58" s="25"/>
      <c r="H58" s="25"/>
      <c r="I58" s="5"/>
      <c r="J58" s="5"/>
      <c r="K58" s="5"/>
    </row>
    <row r="59" spans="1:11" x14ac:dyDescent="0.2">
      <c r="A59" s="24">
        <v>51</v>
      </c>
      <c r="B59" s="47" t="s">
        <v>257</v>
      </c>
      <c r="C59" s="47" t="s">
        <v>263</v>
      </c>
      <c r="D59" s="47">
        <v>2013</v>
      </c>
      <c r="E59" s="52">
        <v>44907</v>
      </c>
      <c r="F59" s="25"/>
      <c r="G59" s="25"/>
      <c r="H59" s="25"/>
      <c r="I59" s="5"/>
      <c r="J59" s="5"/>
      <c r="K59" s="5"/>
    </row>
    <row r="60" spans="1:11" x14ac:dyDescent="0.2">
      <c r="A60" s="24">
        <v>52</v>
      </c>
      <c r="B60" s="47" t="s">
        <v>257</v>
      </c>
      <c r="C60" s="47" t="s">
        <v>264</v>
      </c>
      <c r="D60" s="47">
        <v>2013</v>
      </c>
      <c r="E60" s="52">
        <v>44907</v>
      </c>
      <c r="F60" s="25"/>
      <c r="G60" s="25"/>
      <c r="H60" s="25"/>
      <c r="I60" s="5"/>
      <c r="J60" s="5"/>
      <c r="K60" s="5"/>
    </row>
    <row r="61" spans="1:11" x14ac:dyDescent="0.2">
      <c r="A61" s="24">
        <v>53</v>
      </c>
      <c r="B61" s="47" t="s">
        <v>257</v>
      </c>
      <c r="C61" s="47" t="s">
        <v>265</v>
      </c>
      <c r="D61" s="47">
        <v>2013</v>
      </c>
      <c r="E61" s="52">
        <v>44907</v>
      </c>
      <c r="F61" s="25"/>
      <c r="G61" s="25"/>
      <c r="H61" s="25"/>
      <c r="I61" s="5"/>
      <c r="J61" s="5"/>
      <c r="K61" s="5"/>
    </row>
    <row r="62" spans="1:11" x14ac:dyDescent="0.2">
      <c r="A62" s="24">
        <v>54</v>
      </c>
      <c r="B62" s="47" t="s">
        <v>257</v>
      </c>
      <c r="C62" s="47" t="s">
        <v>266</v>
      </c>
      <c r="D62" s="47">
        <v>2013</v>
      </c>
      <c r="E62" s="52">
        <v>44907</v>
      </c>
      <c r="F62" s="25"/>
      <c r="G62" s="25"/>
      <c r="H62" s="25"/>
      <c r="I62" s="5"/>
      <c r="J62" s="5"/>
      <c r="K62" s="5"/>
    </row>
    <row r="63" spans="1:11" x14ac:dyDescent="0.2">
      <c r="A63" s="24">
        <v>55</v>
      </c>
      <c r="B63" s="47" t="s">
        <v>257</v>
      </c>
      <c r="C63" s="47" t="s">
        <v>267</v>
      </c>
      <c r="D63" s="47">
        <v>2013</v>
      </c>
      <c r="E63" s="52">
        <v>44907</v>
      </c>
      <c r="F63" s="25"/>
      <c r="G63" s="25"/>
      <c r="H63" s="25"/>
      <c r="I63" s="5"/>
      <c r="J63" s="5"/>
      <c r="K63" s="5"/>
    </row>
    <row r="64" spans="1:11" x14ac:dyDescent="0.2">
      <c r="A64" s="24">
        <v>56</v>
      </c>
      <c r="B64" s="47" t="s">
        <v>268</v>
      </c>
      <c r="C64" s="47" t="s">
        <v>269</v>
      </c>
      <c r="D64" s="47">
        <v>1989</v>
      </c>
      <c r="E64" s="52">
        <v>44907</v>
      </c>
      <c r="F64" s="25"/>
      <c r="G64" s="25"/>
      <c r="H64" s="25"/>
      <c r="I64" s="5"/>
      <c r="J64" s="5"/>
      <c r="K64" s="5"/>
    </row>
    <row r="65" spans="1:11" x14ac:dyDescent="0.2">
      <c r="A65" s="24">
        <v>57</v>
      </c>
      <c r="B65" s="47" t="s">
        <v>268</v>
      </c>
      <c r="C65" s="47" t="s">
        <v>270</v>
      </c>
      <c r="D65" s="47">
        <v>2000</v>
      </c>
      <c r="E65" s="52">
        <v>44907</v>
      </c>
      <c r="F65" s="25"/>
      <c r="G65" s="25"/>
      <c r="H65" s="25"/>
      <c r="I65" s="5"/>
      <c r="J65" s="5"/>
      <c r="K65" s="5"/>
    </row>
    <row r="66" spans="1:11" x14ac:dyDescent="0.2">
      <c r="A66" s="24">
        <v>58</v>
      </c>
      <c r="B66" s="47" t="s">
        <v>268</v>
      </c>
      <c r="C66" s="47" t="s">
        <v>271</v>
      </c>
      <c r="D66" s="47">
        <v>2000</v>
      </c>
      <c r="E66" s="52">
        <v>44907</v>
      </c>
      <c r="F66" s="25"/>
      <c r="G66" s="25"/>
      <c r="H66" s="25"/>
      <c r="I66" s="5"/>
      <c r="J66" s="5"/>
      <c r="K66" s="5"/>
    </row>
    <row r="67" spans="1:11" x14ac:dyDescent="0.2">
      <c r="A67" s="24">
        <v>59</v>
      </c>
      <c r="B67" s="47" t="s">
        <v>268</v>
      </c>
      <c r="C67" s="47" t="s">
        <v>272</v>
      </c>
      <c r="D67" s="47">
        <v>2006</v>
      </c>
      <c r="E67" s="52">
        <v>44907</v>
      </c>
      <c r="F67" s="25"/>
      <c r="G67" s="25"/>
      <c r="H67" s="25"/>
      <c r="I67" s="5"/>
      <c r="J67" s="5"/>
      <c r="K67" s="5"/>
    </row>
    <row r="68" spans="1:11" x14ac:dyDescent="0.2">
      <c r="A68" s="24">
        <v>60</v>
      </c>
      <c r="B68" s="47" t="s">
        <v>273</v>
      </c>
      <c r="C68" s="47" t="s">
        <v>274</v>
      </c>
      <c r="D68" s="47">
        <v>2000</v>
      </c>
      <c r="E68" s="52">
        <v>44907</v>
      </c>
      <c r="F68" s="25"/>
      <c r="G68" s="25"/>
      <c r="H68" s="25"/>
      <c r="I68" s="5"/>
      <c r="J68" s="5"/>
      <c r="K68" s="5"/>
    </row>
    <row r="69" spans="1:11" x14ac:dyDescent="0.2">
      <c r="A69" s="24">
        <v>61</v>
      </c>
      <c r="B69" s="47" t="s">
        <v>273</v>
      </c>
      <c r="C69" s="47" t="s">
        <v>275</v>
      </c>
      <c r="D69" s="47">
        <v>2000</v>
      </c>
      <c r="E69" s="52">
        <v>44907</v>
      </c>
      <c r="F69" s="25"/>
      <c r="G69" s="25"/>
      <c r="H69" s="25"/>
      <c r="I69" s="5"/>
      <c r="J69" s="5"/>
      <c r="K69" s="5"/>
    </row>
    <row r="70" spans="1:11" x14ac:dyDescent="0.2">
      <c r="A70" s="24">
        <v>62</v>
      </c>
      <c r="B70" s="47" t="s">
        <v>273</v>
      </c>
      <c r="C70" s="47" t="s">
        <v>276</v>
      </c>
      <c r="D70" s="47">
        <v>2006</v>
      </c>
      <c r="E70" s="52">
        <v>44907</v>
      </c>
      <c r="F70" s="25"/>
      <c r="G70" s="25"/>
      <c r="H70" s="25"/>
      <c r="I70" s="5"/>
      <c r="J70" s="5"/>
      <c r="K70" s="5"/>
    </row>
    <row r="71" spans="1:11" x14ac:dyDescent="0.2">
      <c r="A71" s="24">
        <v>63</v>
      </c>
      <c r="B71" s="47" t="s">
        <v>273</v>
      </c>
      <c r="C71" s="47" t="s">
        <v>277</v>
      </c>
      <c r="D71" s="47">
        <v>2008</v>
      </c>
      <c r="E71" s="52">
        <v>44907</v>
      </c>
      <c r="F71" s="25"/>
      <c r="G71" s="25"/>
      <c r="H71" s="25"/>
      <c r="I71" s="5"/>
      <c r="J71" s="5"/>
      <c r="K71" s="5"/>
    </row>
    <row r="72" spans="1:11" x14ac:dyDescent="0.2">
      <c r="A72" s="24">
        <v>64</v>
      </c>
      <c r="B72" s="47" t="s">
        <v>273</v>
      </c>
      <c r="C72" s="47" t="s">
        <v>278</v>
      </c>
      <c r="D72" s="47">
        <v>2008</v>
      </c>
      <c r="E72" s="52">
        <v>44907</v>
      </c>
      <c r="F72" s="25"/>
      <c r="G72" s="25"/>
      <c r="H72" s="25"/>
      <c r="I72" s="5"/>
      <c r="J72" s="5"/>
      <c r="K72" s="5"/>
    </row>
    <row r="73" spans="1:11" x14ac:dyDescent="0.2">
      <c r="A73" s="24">
        <v>65</v>
      </c>
      <c r="B73" s="47" t="s">
        <v>273</v>
      </c>
      <c r="C73" s="47" t="s">
        <v>279</v>
      </c>
      <c r="D73" s="47">
        <v>2010</v>
      </c>
      <c r="E73" s="52">
        <v>44907</v>
      </c>
      <c r="F73" s="25"/>
      <c r="G73" s="25"/>
      <c r="H73" s="25"/>
      <c r="I73" s="5"/>
      <c r="J73" s="5"/>
      <c r="K73" s="5"/>
    </row>
    <row r="74" spans="1:11" ht="93.75" customHeight="1" x14ac:dyDescent="0.2">
      <c r="A74" s="27"/>
      <c r="B74" s="159" t="s">
        <v>280</v>
      </c>
      <c r="C74" s="159"/>
      <c r="D74" s="159"/>
      <c r="E74" s="159"/>
      <c r="F74" s="159"/>
      <c r="G74" s="25" t="s">
        <v>338</v>
      </c>
      <c r="H74" s="28"/>
      <c r="I74" s="5"/>
      <c r="J74" s="5"/>
      <c r="K74" s="5"/>
    </row>
    <row r="75" spans="1:11" ht="42.75" customHeight="1" x14ac:dyDescent="0.2">
      <c r="A75" s="27"/>
      <c r="B75" s="159" t="s">
        <v>394</v>
      </c>
      <c r="C75" s="159"/>
      <c r="D75" s="159"/>
      <c r="E75" s="159"/>
      <c r="F75" s="159"/>
      <c r="G75" s="25" t="s">
        <v>338</v>
      </c>
      <c r="H75" s="28"/>
      <c r="I75" s="5"/>
      <c r="J75" s="5"/>
      <c r="K75" s="5"/>
    </row>
    <row r="76" spans="1:11" x14ac:dyDescent="0.2">
      <c r="A76" s="27"/>
      <c r="B76" s="27"/>
      <c r="C76" s="28"/>
      <c r="D76" s="28"/>
      <c r="E76" s="28"/>
      <c r="F76" s="28"/>
      <c r="G76" s="28"/>
      <c r="H76" s="28"/>
      <c r="I76" s="5"/>
      <c r="J76" s="5"/>
      <c r="K76" s="5"/>
    </row>
    <row r="77" spans="1:11" x14ac:dyDescent="0.2">
      <c r="A77" s="150" t="s">
        <v>177</v>
      </c>
      <c r="B77" s="151"/>
      <c r="C77" s="152"/>
      <c r="D77" s="153"/>
      <c r="E77" s="154"/>
      <c r="F77" s="155" t="s">
        <v>178</v>
      </c>
      <c r="G77" s="156"/>
      <c r="H77" s="157"/>
      <c r="I77" s="152"/>
      <c r="J77" s="153"/>
      <c r="K77" s="158"/>
    </row>
  </sheetData>
  <customSheetViews>
    <customSheetView guid="{D0B43696-C677-428B-89B5-FA762F48CCFE}" showPageBreaks="1" view="pageBreakPreview" topLeftCell="A43">
      <selection activeCell="C47" sqref="C47"/>
      <pageMargins left="0.75" right="0.75" top="1" bottom="1" header="0.5" footer="0.5"/>
      <pageSetup paperSize="9" scale="58" orientation="portrait" r:id="rId1"/>
      <headerFooter alignWithMargins="0"/>
    </customSheetView>
    <customSheetView guid="{1A0A59C7-6CA7-4317-90A9-40DF16B65ADD}" showPageBreaks="1" view="pageBreakPreview" topLeftCell="A60">
      <selection activeCell="H9" sqref="H9:H73"/>
      <pageMargins left="0.75" right="0.75" top="1" bottom="1" header="0.5" footer="0.5"/>
      <pageSetup paperSize="9" scale="58" orientation="portrait" r:id="rId2"/>
      <headerFooter alignWithMargins="0"/>
    </customSheetView>
  </customSheetViews>
  <mergeCells count="9">
    <mergeCell ref="A4:B4"/>
    <mergeCell ref="C4:K4"/>
    <mergeCell ref="A6:K6"/>
    <mergeCell ref="B74:F74"/>
    <mergeCell ref="I77:K77"/>
    <mergeCell ref="B75:F75"/>
    <mergeCell ref="A77:B77"/>
    <mergeCell ref="C77:E77"/>
    <mergeCell ref="F77:H77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8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Arkusz55"/>
  <dimension ref="A2:K13"/>
  <sheetViews>
    <sheetView view="pageBreakPreview" zoomScaleNormal="100" workbookViewId="0">
      <selection activeCell="C13" sqref="C13:E13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54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329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ht="38.25" x14ac:dyDescent="0.2">
      <c r="A9" s="24">
        <v>1</v>
      </c>
      <c r="B9" s="30" t="s">
        <v>509</v>
      </c>
      <c r="C9" s="43" t="s">
        <v>174</v>
      </c>
      <c r="D9" s="25">
        <v>2013</v>
      </c>
      <c r="E9" s="41">
        <v>44982</v>
      </c>
      <c r="F9" s="25"/>
      <c r="G9" s="25"/>
      <c r="H9" s="25"/>
      <c r="I9" s="5"/>
      <c r="J9" s="5"/>
      <c r="K9" s="5"/>
    </row>
    <row r="10" spans="1:11" ht="133.15" customHeight="1" x14ac:dyDescent="0.2">
      <c r="A10" s="27"/>
      <c r="B10" s="167" t="s">
        <v>351</v>
      </c>
      <c r="C10" s="168"/>
      <c r="D10" s="168"/>
      <c r="E10" s="168"/>
      <c r="F10" s="169"/>
      <c r="G10" s="31" t="s">
        <v>338</v>
      </c>
      <c r="H10" s="28"/>
      <c r="I10" s="5"/>
      <c r="J10" s="5"/>
      <c r="K10" s="5"/>
    </row>
    <row r="11" spans="1:11" ht="57.75" customHeight="1" x14ac:dyDescent="0.2">
      <c r="A11" s="27"/>
      <c r="B11" s="162" t="s">
        <v>417</v>
      </c>
      <c r="C11" s="162"/>
      <c r="D11" s="162"/>
      <c r="E11" s="162"/>
      <c r="F11" s="162"/>
      <c r="G11" s="25" t="s">
        <v>338</v>
      </c>
      <c r="H11" s="28"/>
      <c r="I11" s="5"/>
      <c r="J11" s="5"/>
      <c r="K11" s="5"/>
    </row>
    <row r="12" spans="1:11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</sheetData>
  <customSheetViews>
    <customSheetView guid="{D0B43696-C677-428B-89B5-FA762F48CCFE}" showPageBreaks="1" view="pageBreakPreview">
      <selection activeCell="H10" sqref="H10"/>
      <pageMargins left="0.75" right="0.75" top="1" bottom="1" header="0.5" footer="0.5"/>
      <pageSetup paperSize="9" scale="58" orientation="portrait" r:id="rId1"/>
      <headerFooter alignWithMargins="0"/>
    </customSheetView>
    <customSheetView guid="{1A0A59C7-6CA7-4317-90A9-40DF16B65ADD}" showPageBreaks="1" view="pageBreakPreview">
      <selection activeCell="H10" sqref="H10"/>
      <pageMargins left="0.75" right="0.75" top="1" bottom="1" header="0.5" footer="0.5"/>
      <pageSetup paperSize="9" scale="58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8" orientation="portrait" r:id="rId3"/>
  <headerFooter alignWithMargins="0">
    <oddHeader>&amp;RZałącznik nr 1a do SWZ</oddHeader>
    <oddFooter>&amp;R......................................................................................
podpis osoby uprawnionej do składania oświadczeń woli w imieniu wykonawcy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Arkusz56"/>
  <dimension ref="A2:K13"/>
  <sheetViews>
    <sheetView view="pageBreakPreview" zoomScaleNormal="100" workbookViewId="0">
      <selection activeCell="C13" sqref="C13:E13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55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335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24">
        <v>1</v>
      </c>
      <c r="B9" s="30" t="s">
        <v>336</v>
      </c>
      <c r="C9" s="43">
        <v>6844</v>
      </c>
      <c r="D9" s="25">
        <v>2015</v>
      </c>
      <c r="E9" s="41">
        <v>44771</v>
      </c>
      <c r="F9" s="25"/>
      <c r="G9" s="25"/>
      <c r="H9" s="25"/>
      <c r="I9" s="5"/>
      <c r="J9" s="5"/>
      <c r="K9" s="5"/>
    </row>
    <row r="10" spans="1:11" ht="105.75" customHeight="1" x14ac:dyDescent="0.2">
      <c r="A10" s="27"/>
      <c r="B10" s="167" t="s">
        <v>366</v>
      </c>
      <c r="C10" s="168"/>
      <c r="D10" s="168"/>
      <c r="E10" s="168"/>
      <c r="F10" s="169"/>
      <c r="G10" s="31" t="s">
        <v>338</v>
      </c>
      <c r="H10" s="28"/>
      <c r="I10" s="5"/>
      <c r="J10" s="5"/>
      <c r="K10" s="5"/>
    </row>
    <row r="11" spans="1:11" ht="57.75" customHeight="1" x14ac:dyDescent="0.2">
      <c r="A11" s="27"/>
      <c r="B11" s="162" t="s">
        <v>417</v>
      </c>
      <c r="C11" s="162"/>
      <c r="D11" s="162"/>
      <c r="E11" s="162"/>
      <c r="F11" s="162"/>
      <c r="G11" s="25" t="s">
        <v>338</v>
      </c>
      <c r="H11" s="28"/>
      <c r="I11" s="5"/>
      <c r="J11" s="5"/>
      <c r="K11" s="5"/>
    </row>
    <row r="12" spans="1:11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</sheetData>
  <customSheetViews>
    <customSheetView guid="{D0B43696-C677-428B-89B5-FA762F48CCFE}" showPageBreaks="1" view="pageBreakPreview">
      <selection activeCell="H11" sqref="H11"/>
      <pageMargins left="0.75" right="0.75" top="1" bottom="1" header="0.5" footer="0.5"/>
      <pageSetup paperSize="9" scale="58" orientation="portrait" r:id="rId1"/>
      <headerFooter alignWithMargins="0"/>
    </customSheetView>
    <customSheetView guid="{1A0A59C7-6CA7-4317-90A9-40DF16B65ADD}" showPageBreaks="1" view="pageBreakPreview">
      <selection activeCell="H11" sqref="H11"/>
      <pageMargins left="0.75" right="0.75" top="1" bottom="1" header="0.5" footer="0.5"/>
      <pageSetup paperSize="9" scale="58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8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Arkusz57"/>
  <dimension ref="A2:K48"/>
  <sheetViews>
    <sheetView view="pageBreakPreview" topLeftCell="A16" zoomScaleNormal="100" workbookViewId="0">
      <selection activeCell="O18" sqref="O18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A2" s="111"/>
      <c r="B2" s="112" t="s">
        <v>1</v>
      </c>
      <c r="C2" s="113">
        <v>56</v>
      </c>
      <c r="D2" s="114"/>
      <c r="E2" s="114"/>
      <c r="F2" s="114"/>
      <c r="G2" s="114"/>
      <c r="H2" s="114"/>
      <c r="I2" s="114"/>
      <c r="J2" s="114"/>
      <c r="K2" s="114"/>
    </row>
    <row r="3" spans="1:11" x14ac:dyDescent="0.2">
      <c r="A3" s="112"/>
      <c r="B3" s="115"/>
      <c r="C3" s="116"/>
      <c r="D3" s="114"/>
      <c r="E3" s="114"/>
      <c r="F3" s="114"/>
      <c r="G3" s="114"/>
      <c r="H3" s="114"/>
      <c r="I3" s="114"/>
      <c r="J3" s="114"/>
      <c r="K3" s="114"/>
    </row>
    <row r="4" spans="1:11" x14ac:dyDescent="0.2">
      <c r="A4" s="173" t="s">
        <v>176</v>
      </c>
      <c r="B4" s="174"/>
      <c r="C4" s="175" t="s">
        <v>194</v>
      </c>
      <c r="D4" s="176"/>
      <c r="E4" s="176"/>
      <c r="F4" s="176"/>
      <c r="G4" s="176"/>
      <c r="H4" s="176"/>
      <c r="I4" s="176"/>
      <c r="J4" s="176"/>
      <c r="K4" s="177"/>
    </row>
    <row r="5" spans="1:11" x14ac:dyDescent="0.2">
      <c r="A5" s="112"/>
      <c r="B5" s="117"/>
      <c r="C5" s="118"/>
      <c r="D5" s="118"/>
      <c r="E5" s="118"/>
      <c r="F5" s="118"/>
      <c r="G5" s="118"/>
      <c r="H5" s="118"/>
      <c r="I5" s="118"/>
      <c r="J5" s="118"/>
      <c r="K5" s="118"/>
    </row>
    <row r="6" spans="1:11" x14ac:dyDescent="0.2">
      <c r="A6" s="112"/>
      <c r="B6" s="178" t="s">
        <v>677</v>
      </c>
      <c r="C6" s="179"/>
      <c r="D6" s="179"/>
      <c r="E6" s="179"/>
      <c r="F6" s="179"/>
      <c r="G6" s="179"/>
      <c r="H6" s="179"/>
      <c r="I6" s="179"/>
      <c r="J6" s="179"/>
      <c r="K6" s="179"/>
    </row>
    <row r="7" spans="1:11" x14ac:dyDescent="0.2">
      <c r="A7" s="111"/>
      <c r="B7" s="119"/>
      <c r="C7" s="120"/>
      <c r="D7" s="120"/>
      <c r="E7" s="120"/>
      <c r="F7" s="120"/>
      <c r="G7" s="120"/>
      <c r="H7" s="120"/>
      <c r="I7" s="120"/>
      <c r="J7" s="120"/>
      <c r="K7" s="120"/>
    </row>
    <row r="8" spans="1:11" ht="25.5" x14ac:dyDescent="0.2">
      <c r="A8" s="121" t="s">
        <v>179</v>
      </c>
      <c r="B8" s="121" t="s">
        <v>180</v>
      </c>
      <c r="C8" s="122" t="s">
        <v>181</v>
      </c>
      <c r="D8" s="122" t="s">
        <v>182</v>
      </c>
      <c r="E8" s="122" t="s">
        <v>183</v>
      </c>
      <c r="F8" s="122" t="s">
        <v>184</v>
      </c>
      <c r="G8" s="122" t="s">
        <v>185</v>
      </c>
      <c r="H8" s="122" t="s">
        <v>186</v>
      </c>
      <c r="I8" s="120"/>
      <c r="J8" s="120"/>
      <c r="K8" s="120"/>
    </row>
    <row r="9" spans="1:11" x14ac:dyDescent="0.2">
      <c r="A9" s="121">
        <v>1</v>
      </c>
      <c r="B9" s="123" t="s">
        <v>42</v>
      </c>
      <c r="C9" s="123" t="s">
        <v>43</v>
      </c>
      <c r="D9" s="123">
        <v>2017</v>
      </c>
      <c r="E9" s="124">
        <v>44811</v>
      </c>
      <c r="F9" s="122"/>
      <c r="G9" s="122"/>
      <c r="H9" s="122"/>
      <c r="I9" s="120"/>
      <c r="J9" s="120"/>
      <c r="K9" s="120"/>
    </row>
    <row r="10" spans="1:11" x14ac:dyDescent="0.2">
      <c r="A10" s="121">
        <v>2</v>
      </c>
      <c r="B10" s="123" t="s">
        <v>44</v>
      </c>
      <c r="C10" s="123" t="s">
        <v>45</v>
      </c>
      <c r="D10" s="123">
        <v>2017</v>
      </c>
      <c r="E10" s="124">
        <v>44811</v>
      </c>
      <c r="F10" s="122"/>
      <c r="G10" s="122"/>
      <c r="H10" s="122"/>
      <c r="I10" s="120"/>
      <c r="J10" s="120"/>
      <c r="K10" s="120"/>
    </row>
    <row r="11" spans="1:11" x14ac:dyDescent="0.2">
      <c r="A11" s="121">
        <v>3</v>
      </c>
      <c r="B11" s="123" t="s">
        <v>14</v>
      </c>
      <c r="C11" s="123" t="s">
        <v>18</v>
      </c>
      <c r="D11" s="123">
        <v>2007</v>
      </c>
      <c r="E11" s="124">
        <v>44811</v>
      </c>
      <c r="F11" s="122"/>
      <c r="G11" s="122"/>
      <c r="H11" s="122"/>
      <c r="I11" s="120"/>
      <c r="J11" s="120"/>
      <c r="K11" s="120"/>
    </row>
    <row r="12" spans="1:11" x14ac:dyDescent="0.2">
      <c r="A12" s="121">
        <v>4</v>
      </c>
      <c r="B12" s="123" t="s">
        <v>27</v>
      </c>
      <c r="C12" s="123" t="s">
        <v>28</v>
      </c>
      <c r="D12" s="123">
        <v>2000</v>
      </c>
      <c r="E12" s="124">
        <v>44811</v>
      </c>
      <c r="F12" s="122"/>
      <c r="G12" s="122"/>
      <c r="H12" s="122"/>
      <c r="I12" s="120"/>
      <c r="J12" s="120"/>
      <c r="K12" s="120"/>
    </row>
    <row r="13" spans="1:11" x14ac:dyDescent="0.2">
      <c r="A13" s="121">
        <v>5</v>
      </c>
      <c r="B13" s="123" t="s">
        <v>33</v>
      </c>
      <c r="C13" s="123" t="s">
        <v>34</v>
      </c>
      <c r="D13" s="123">
        <v>2000</v>
      </c>
      <c r="E13" s="124">
        <v>44811</v>
      </c>
      <c r="F13" s="122"/>
      <c r="G13" s="122"/>
      <c r="H13" s="122"/>
      <c r="I13" s="120"/>
      <c r="J13" s="120"/>
      <c r="K13" s="120"/>
    </row>
    <row r="14" spans="1:11" x14ac:dyDescent="0.2">
      <c r="A14" s="121">
        <v>6</v>
      </c>
      <c r="B14" s="123" t="s">
        <v>35</v>
      </c>
      <c r="C14" s="123" t="s">
        <v>36</v>
      </c>
      <c r="D14" s="123">
        <v>2000</v>
      </c>
      <c r="E14" s="124">
        <v>44811</v>
      </c>
      <c r="F14" s="122"/>
      <c r="G14" s="122"/>
      <c r="H14" s="122"/>
      <c r="I14" s="120"/>
      <c r="J14" s="120"/>
      <c r="K14" s="120"/>
    </row>
    <row r="15" spans="1:11" ht="25.5" x14ac:dyDescent="0.2">
      <c r="A15" s="121">
        <v>7</v>
      </c>
      <c r="B15" s="123" t="s">
        <v>37</v>
      </c>
      <c r="C15" s="123" t="s">
        <v>38</v>
      </c>
      <c r="D15" s="123">
        <v>2016</v>
      </c>
      <c r="E15" s="124">
        <v>44811</v>
      </c>
      <c r="F15" s="122"/>
      <c r="G15" s="122"/>
      <c r="H15" s="122"/>
      <c r="I15" s="120"/>
      <c r="J15" s="120"/>
      <c r="K15" s="120"/>
    </row>
    <row r="16" spans="1:11" x14ac:dyDescent="0.2">
      <c r="A16" s="121">
        <v>8</v>
      </c>
      <c r="B16" s="123" t="s">
        <v>46</v>
      </c>
      <c r="C16" s="123" t="s">
        <v>47</v>
      </c>
      <c r="D16" s="123">
        <v>2011</v>
      </c>
      <c r="E16" s="124">
        <v>44811</v>
      </c>
      <c r="F16" s="122"/>
      <c r="G16" s="122"/>
      <c r="H16" s="122"/>
      <c r="I16" s="120"/>
      <c r="J16" s="120"/>
      <c r="K16" s="120"/>
    </row>
    <row r="17" spans="1:11" x14ac:dyDescent="0.2">
      <c r="A17" s="121">
        <v>9</v>
      </c>
      <c r="B17" s="123" t="s">
        <v>6</v>
      </c>
      <c r="C17" s="123" t="s">
        <v>7</v>
      </c>
      <c r="D17" s="123">
        <v>1985</v>
      </c>
      <c r="E17" s="124">
        <v>44811</v>
      </c>
      <c r="F17" s="122"/>
      <c r="G17" s="122"/>
      <c r="H17" s="122"/>
      <c r="I17" s="120"/>
      <c r="J17" s="120"/>
      <c r="K17" s="120"/>
    </row>
    <row r="18" spans="1:11" x14ac:dyDescent="0.2">
      <c r="A18" s="121">
        <v>10</v>
      </c>
      <c r="B18" s="123" t="s">
        <v>6</v>
      </c>
      <c r="C18" s="123" t="s">
        <v>8</v>
      </c>
      <c r="D18" s="123">
        <v>1985</v>
      </c>
      <c r="E18" s="124">
        <v>44811</v>
      </c>
      <c r="F18" s="122"/>
      <c r="G18" s="122"/>
      <c r="H18" s="122"/>
      <c r="I18" s="120"/>
      <c r="J18" s="120"/>
      <c r="K18" s="120"/>
    </row>
    <row r="19" spans="1:11" x14ac:dyDescent="0.2">
      <c r="A19" s="121">
        <v>11</v>
      </c>
      <c r="B19" s="123" t="s">
        <v>9</v>
      </c>
      <c r="C19" s="123" t="s">
        <v>10</v>
      </c>
      <c r="D19" s="123">
        <v>2004</v>
      </c>
      <c r="E19" s="124">
        <v>44811</v>
      </c>
      <c r="F19" s="122"/>
      <c r="G19" s="122"/>
      <c r="H19" s="122"/>
      <c r="I19" s="120"/>
      <c r="J19" s="120"/>
      <c r="K19" s="120"/>
    </row>
    <row r="20" spans="1:11" x14ac:dyDescent="0.2">
      <c r="A20" s="121">
        <v>12</v>
      </c>
      <c r="B20" s="123" t="s">
        <v>11</v>
      </c>
      <c r="C20" s="123" t="s">
        <v>12</v>
      </c>
      <c r="D20" s="123">
        <v>2000</v>
      </c>
      <c r="E20" s="124">
        <v>44811</v>
      </c>
      <c r="F20" s="122"/>
      <c r="G20" s="122"/>
      <c r="H20" s="122"/>
      <c r="I20" s="120"/>
      <c r="J20" s="120"/>
      <c r="K20" s="120"/>
    </row>
    <row r="21" spans="1:11" x14ac:dyDescent="0.2">
      <c r="A21" s="121">
        <v>13</v>
      </c>
      <c r="B21" s="123" t="s">
        <v>11</v>
      </c>
      <c r="C21" s="123" t="s">
        <v>13</v>
      </c>
      <c r="D21" s="123">
        <v>2000</v>
      </c>
      <c r="E21" s="124">
        <v>44811</v>
      </c>
      <c r="F21" s="122"/>
      <c r="G21" s="122"/>
      <c r="H21" s="122"/>
      <c r="I21" s="120"/>
      <c r="J21" s="120"/>
      <c r="K21" s="120"/>
    </row>
    <row r="22" spans="1:11" x14ac:dyDescent="0.2">
      <c r="A22" s="121">
        <v>14</v>
      </c>
      <c r="B22" s="123" t="s">
        <v>14</v>
      </c>
      <c r="C22" s="123" t="s">
        <v>15</v>
      </c>
      <c r="D22" s="123">
        <v>2007</v>
      </c>
      <c r="E22" s="124">
        <v>44811</v>
      </c>
      <c r="F22" s="122"/>
      <c r="G22" s="122"/>
      <c r="H22" s="122"/>
      <c r="I22" s="120"/>
      <c r="J22" s="120"/>
      <c r="K22" s="120"/>
    </row>
    <row r="23" spans="1:11" x14ac:dyDescent="0.2">
      <c r="A23" s="121">
        <v>15</v>
      </c>
      <c r="B23" s="123" t="s">
        <v>14</v>
      </c>
      <c r="C23" s="123" t="s">
        <v>16</v>
      </c>
      <c r="D23" s="123">
        <v>2007</v>
      </c>
      <c r="E23" s="124">
        <v>44811</v>
      </c>
      <c r="F23" s="122"/>
      <c r="G23" s="122"/>
      <c r="H23" s="122"/>
      <c r="I23" s="120"/>
      <c r="J23" s="120"/>
      <c r="K23" s="120"/>
    </row>
    <row r="24" spans="1:11" x14ac:dyDescent="0.2">
      <c r="A24" s="121">
        <v>16</v>
      </c>
      <c r="B24" s="123" t="s">
        <v>14</v>
      </c>
      <c r="C24" s="123" t="s">
        <v>17</v>
      </c>
      <c r="D24" s="123">
        <v>2007</v>
      </c>
      <c r="E24" s="124">
        <v>44811</v>
      </c>
      <c r="F24" s="122"/>
      <c r="G24" s="122"/>
      <c r="H24" s="122"/>
      <c r="I24" s="120"/>
      <c r="J24" s="120"/>
      <c r="K24" s="120"/>
    </row>
    <row r="25" spans="1:11" x14ac:dyDescent="0.2">
      <c r="A25" s="121">
        <v>17</v>
      </c>
      <c r="B25" s="123" t="s">
        <v>14</v>
      </c>
      <c r="C25" s="123" t="s">
        <v>19</v>
      </c>
      <c r="D25" s="123">
        <v>2008</v>
      </c>
      <c r="E25" s="124">
        <v>44811</v>
      </c>
      <c r="F25" s="122"/>
      <c r="G25" s="122"/>
      <c r="H25" s="122"/>
      <c r="I25" s="120"/>
      <c r="J25" s="120"/>
      <c r="K25" s="120"/>
    </row>
    <row r="26" spans="1:11" x14ac:dyDescent="0.2">
      <c r="A26" s="121">
        <v>18</v>
      </c>
      <c r="B26" s="123" t="s">
        <v>14</v>
      </c>
      <c r="C26" s="123" t="s">
        <v>20</v>
      </c>
      <c r="D26" s="123">
        <v>2008</v>
      </c>
      <c r="E26" s="124">
        <v>44811</v>
      </c>
      <c r="F26" s="122"/>
      <c r="G26" s="122"/>
      <c r="H26" s="122"/>
      <c r="I26" s="120"/>
      <c r="J26" s="120"/>
      <c r="K26" s="120"/>
    </row>
    <row r="27" spans="1:11" x14ac:dyDescent="0.2">
      <c r="A27" s="121">
        <v>19</v>
      </c>
      <c r="B27" s="123" t="s">
        <v>14</v>
      </c>
      <c r="C27" s="123" t="s">
        <v>21</v>
      </c>
      <c r="D27" s="123">
        <v>2008</v>
      </c>
      <c r="E27" s="124">
        <v>44811</v>
      </c>
      <c r="F27" s="122"/>
      <c r="G27" s="122"/>
      <c r="H27" s="122"/>
      <c r="I27" s="120"/>
      <c r="J27" s="120"/>
      <c r="K27" s="120"/>
    </row>
    <row r="28" spans="1:11" x14ac:dyDescent="0.2">
      <c r="A28" s="121">
        <v>20</v>
      </c>
      <c r="B28" s="123" t="s">
        <v>14</v>
      </c>
      <c r="C28" s="123" t="s">
        <v>22</v>
      </c>
      <c r="D28" s="123">
        <v>2010</v>
      </c>
      <c r="E28" s="124">
        <v>44811</v>
      </c>
      <c r="F28" s="122"/>
      <c r="G28" s="122"/>
      <c r="H28" s="122"/>
      <c r="I28" s="120"/>
      <c r="J28" s="120"/>
      <c r="K28" s="120"/>
    </row>
    <row r="29" spans="1:11" x14ac:dyDescent="0.2">
      <c r="A29" s="121">
        <v>21</v>
      </c>
      <c r="B29" s="123" t="s">
        <v>14</v>
      </c>
      <c r="C29" s="123" t="s">
        <v>23</v>
      </c>
      <c r="D29" s="123">
        <v>2010</v>
      </c>
      <c r="E29" s="124">
        <v>44811</v>
      </c>
      <c r="F29" s="122"/>
      <c r="G29" s="122"/>
      <c r="H29" s="122"/>
      <c r="I29" s="120"/>
      <c r="J29" s="120"/>
      <c r="K29" s="120"/>
    </row>
    <row r="30" spans="1:11" x14ac:dyDescent="0.2">
      <c r="A30" s="121">
        <v>22</v>
      </c>
      <c r="B30" s="123" t="s">
        <v>14</v>
      </c>
      <c r="C30" s="123" t="s">
        <v>24</v>
      </c>
      <c r="D30" s="123">
        <v>2010</v>
      </c>
      <c r="E30" s="124">
        <v>44811</v>
      </c>
      <c r="F30" s="122"/>
      <c r="G30" s="122"/>
      <c r="H30" s="122"/>
      <c r="I30" s="120"/>
      <c r="J30" s="120"/>
      <c r="K30" s="120"/>
    </row>
    <row r="31" spans="1:11" x14ac:dyDescent="0.2">
      <c r="A31" s="121">
        <v>23</v>
      </c>
      <c r="B31" s="123" t="s">
        <v>25</v>
      </c>
      <c r="C31" s="123" t="s">
        <v>26</v>
      </c>
      <c r="D31" s="123">
        <v>2008</v>
      </c>
      <c r="E31" s="124">
        <v>44811</v>
      </c>
      <c r="F31" s="122"/>
      <c r="G31" s="122"/>
      <c r="H31" s="122"/>
      <c r="I31" s="120"/>
      <c r="J31" s="120"/>
      <c r="K31" s="120"/>
    </row>
    <row r="32" spans="1:11" x14ac:dyDescent="0.2">
      <c r="A32" s="121">
        <v>24</v>
      </c>
      <c r="B32" s="123" t="s">
        <v>29</v>
      </c>
      <c r="C32" s="123" t="s">
        <v>30</v>
      </c>
      <c r="D32" s="123">
        <v>2006</v>
      </c>
      <c r="E32" s="124">
        <v>44811</v>
      </c>
      <c r="F32" s="122"/>
      <c r="G32" s="122"/>
      <c r="H32" s="122"/>
      <c r="I32" s="120"/>
      <c r="J32" s="120"/>
      <c r="K32" s="120"/>
    </row>
    <row r="33" spans="1:11" x14ac:dyDescent="0.2">
      <c r="A33" s="121">
        <v>25</v>
      </c>
      <c r="B33" s="123" t="s">
        <v>29</v>
      </c>
      <c r="C33" s="123" t="s">
        <v>31</v>
      </c>
      <c r="D33" s="123">
        <v>2006</v>
      </c>
      <c r="E33" s="124">
        <v>44811</v>
      </c>
      <c r="F33" s="122"/>
      <c r="G33" s="122"/>
      <c r="H33" s="122"/>
      <c r="I33" s="120"/>
      <c r="J33" s="120"/>
      <c r="K33" s="120"/>
    </row>
    <row r="34" spans="1:11" x14ac:dyDescent="0.2">
      <c r="A34" s="121">
        <v>26</v>
      </c>
      <c r="B34" s="123" t="s">
        <v>29</v>
      </c>
      <c r="C34" s="123" t="s">
        <v>32</v>
      </c>
      <c r="D34" s="123">
        <v>2007</v>
      </c>
      <c r="E34" s="124">
        <v>44811</v>
      </c>
      <c r="F34" s="122"/>
      <c r="G34" s="122"/>
      <c r="H34" s="122"/>
      <c r="I34" s="120"/>
      <c r="J34" s="120"/>
      <c r="K34" s="120"/>
    </row>
    <row r="35" spans="1:11" x14ac:dyDescent="0.2">
      <c r="A35" s="121">
        <v>27</v>
      </c>
      <c r="B35" s="123" t="s">
        <v>39</v>
      </c>
      <c r="C35" s="123" t="s">
        <v>40</v>
      </c>
      <c r="D35" s="123">
        <v>1994</v>
      </c>
      <c r="E35" s="124">
        <v>44811</v>
      </c>
      <c r="F35" s="122"/>
      <c r="G35" s="122"/>
      <c r="H35" s="122"/>
      <c r="I35" s="120"/>
      <c r="J35" s="120"/>
      <c r="K35" s="120"/>
    </row>
    <row r="36" spans="1:11" x14ac:dyDescent="0.2">
      <c r="A36" s="121">
        <v>28</v>
      </c>
      <c r="B36" s="123" t="s">
        <v>39</v>
      </c>
      <c r="C36" s="123" t="s">
        <v>13</v>
      </c>
      <c r="D36" s="123">
        <v>1996</v>
      </c>
      <c r="E36" s="124">
        <v>44811</v>
      </c>
      <c r="F36" s="122"/>
      <c r="G36" s="122"/>
      <c r="H36" s="122"/>
      <c r="I36" s="120"/>
      <c r="J36" s="120"/>
      <c r="K36" s="120"/>
    </row>
    <row r="37" spans="1:11" x14ac:dyDescent="0.2">
      <c r="A37" s="121">
        <v>29</v>
      </c>
      <c r="B37" s="123" t="s">
        <v>41</v>
      </c>
      <c r="C37" s="123" t="s">
        <v>48</v>
      </c>
      <c r="D37" s="123">
        <v>1994</v>
      </c>
      <c r="E37" s="124">
        <v>44811</v>
      </c>
      <c r="F37" s="122"/>
      <c r="G37" s="122"/>
      <c r="H37" s="122"/>
      <c r="I37" s="120"/>
      <c r="J37" s="120"/>
      <c r="K37" s="120"/>
    </row>
    <row r="38" spans="1:11" x14ac:dyDescent="0.2">
      <c r="A38" s="121">
        <v>30</v>
      </c>
      <c r="B38" s="125" t="s">
        <v>9</v>
      </c>
      <c r="C38" s="125" t="s">
        <v>438</v>
      </c>
      <c r="D38" s="125">
        <v>2004</v>
      </c>
      <c r="E38" s="124">
        <v>44811</v>
      </c>
      <c r="F38" s="122"/>
      <c r="G38" s="122"/>
      <c r="H38" s="122"/>
      <c r="I38" s="120"/>
      <c r="J38" s="120"/>
      <c r="K38" s="120"/>
    </row>
    <row r="39" spans="1:11" x14ac:dyDescent="0.2">
      <c r="A39" s="121">
        <v>31</v>
      </c>
      <c r="B39" s="125" t="s">
        <v>25</v>
      </c>
      <c r="C39" s="125" t="s">
        <v>26</v>
      </c>
      <c r="D39" s="125">
        <v>2008</v>
      </c>
      <c r="E39" s="124">
        <v>44811</v>
      </c>
      <c r="F39" s="122"/>
      <c r="G39" s="122"/>
      <c r="H39" s="122"/>
      <c r="I39" s="120"/>
      <c r="J39" s="120"/>
      <c r="K39" s="120"/>
    </row>
    <row r="40" spans="1:11" x14ac:dyDescent="0.2">
      <c r="A40" s="121">
        <v>32</v>
      </c>
      <c r="B40" s="125" t="s">
        <v>439</v>
      </c>
      <c r="C40" s="125" t="s">
        <v>440</v>
      </c>
      <c r="D40" s="125">
        <v>2010</v>
      </c>
      <c r="E40" s="124">
        <v>44811</v>
      </c>
      <c r="F40" s="122"/>
      <c r="G40" s="122"/>
      <c r="H40" s="122"/>
      <c r="I40" s="120"/>
      <c r="J40" s="120"/>
      <c r="K40" s="120"/>
    </row>
    <row r="41" spans="1:11" x14ac:dyDescent="0.2">
      <c r="A41" s="121">
        <v>33</v>
      </c>
      <c r="B41" s="125" t="s">
        <v>439</v>
      </c>
      <c r="C41" s="125" t="s">
        <v>441</v>
      </c>
      <c r="D41" s="125">
        <v>2011</v>
      </c>
      <c r="E41" s="124">
        <v>44811</v>
      </c>
      <c r="F41" s="122"/>
      <c r="G41" s="122"/>
      <c r="H41" s="122"/>
      <c r="I41" s="120"/>
      <c r="J41" s="120"/>
      <c r="K41" s="120"/>
    </row>
    <row r="42" spans="1:11" x14ac:dyDescent="0.2">
      <c r="A42" s="121">
        <v>34</v>
      </c>
      <c r="B42" s="125" t="s">
        <v>442</v>
      </c>
      <c r="C42" s="125" t="s">
        <v>437</v>
      </c>
      <c r="D42" s="125">
        <v>1997</v>
      </c>
      <c r="E42" s="124">
        <v>44811</v>
      </c>
      <c r="F42" s="122"/>
      <c r="G42" s="122"/>
      <c r="H42" s="122"/>
      <c r="I42" s="120"/>
      <c r="J42" s="120"/>
      <c r="K42" s="120"/>
    </row>
    <row r="43" spans="1:11" x14ac:dyDescent="0.2">
      <c r="A43" s="121">
        <v>35</v>
      </c>
      <c r="B43" s="125" t="s">
        <v>41</v>
      </c>
      <c r="C43" s="125" t="s">
        <v>48</v>
      </c>
      <c r="D43" s="125">
        <v>1994</v>
      </c>
      <c r="E43" s="124">
        <v>44811</v>
      </c>
      <c r="F43" s="122"/>
      <c r="G43" s="122"/>
      <c r="H43" s="122"/>
      <c r="I43" s="120"/>
      <c r="J43" s="120"/>
      <c r="K43" s="120"/>
    </row>
    <row r="44" spans="1:11" x14ac:dyDescent="0.2">
      <c r="A44" s="121">
        <v>36</v>
      </c>
      <c r="B44" s="125" t="s">
        <v>443</v>
      </c>
      <c r="C44" s="125" t="s">
        <v>444</v>
      </c>
      <c r="D44" s="125">
        <v>1988</v>
      </c>
      <c r="E44" s="124">
        <v>44811</v>
      </c>
      <c r="F44" s="122"/>
      <c r="G44" s="122"/>
      <c r="H44" s="122"/>
      <c r="I44" s="120"/>
      <c r="J44" s="120"/>
      <c r="K44" s="120"/>
    </row>
    <row r="45" spans="1:11" ht="81.75" customHeight="1" x14ac:dyDescent="0.2">
      <c r="A45" s="126"/>
      <c r="B45" s="180" t="s">
        <v>337</v>
      </c>
      <c r="C45" s="180"/>
      <c r="D45" s="180"/>
      <c r="E45" s="180"/>
      <c r="F45" s="180"/>
      <c r="G45" s="127" t="s">
        <v>338</v>
      </c>
      <c r="H45" s="128"/>
      <c r="I45" s="120"/>
      <c r="J45" s="120"/>
      <c r="K45" s="120"/>
    </row>
    <row r="46" spans="1:11" ht="43.5" customHeight="1" x14ac:dyDescent="0.2">
      <c r="A46" s="126"/>
      <c r="B46" s="184" t="s">
        <v>51</v>
      </c>
      <c r="C46" s="184"/>
      <c r="D46" s="184"/>
      <c r="E46" s="184"/>
      <c r="F46" s="184"/>
      <c r="G46" s="122" t="s">
        <v>338</v>
      </c>
      <c r="H46" s="128"/>
      <c r="I46" s="120"/>
      <c r="J46" s="120"/>
      <c r="K46" s="120"/>
    </row>
    <row r="47" spans="1:11" x14ac:dyDescent="0.2">
      <c r="A47" s="111"/>
      <c r="B47" s="119"/>
      <c r="C47" s="129"/>
      <c r="D47" s="120"/>
      <c r="E47" s="120"/>
      <c r="F47" s="120"/>
      <c r="G47" s="120"/>
      <c r="H47" s="120"/>
      <c r="I47" s="120"/>
      <c r="J47" s="120"/>
      <c r="K47" s="120"/>
    </row>
    <row r="48" spans="1:11" x14ac:dyDescent="0.2">
      <c r="A48" s="185" t="s">
        <v>192</v>
      </c>
      <c r="B48" s="186"/>
      <c r="C48" s="181"/>
      <c r="D48" s="182"/>
      <c r="E48" s="187"/>
      <c r="F48" s="188" t="s">
        <v>178</v>
      </c>
      <c r="G48" s="189"/>
      <c r="H48" s="190"/>
      <c r="I48" s="181"/>
      <c r="J48" s="182"/>
      <c r="K48" s="183"/>
    </row>
  </sheetData>
  <customSheetViews>
    <customSheetView guid="{D0B43696-C677-428B-89B5-FA762F48CCFE}" showPageBreaks="1" view="pageBreakPreview" topLeftCell="A13">
      <selection activeCell="C50" sqref="C50:K50"/>
      <pageMargins left="0.75" right="0.75" top="1" bottom="1" header="0.5" footer="0.5"/>
      <pageSetup paperSize="9" scale="58" orientation="portrait" r:id="rId1"/>
      <headerFooter alignWithMargins="0"/>
    </customSheetView>
    <customSheetView guid="{1A0A59C7-6CA7-4317-90A9-40DF16B65ADD}" showPageBreaks="1" view="pageBreakPreview" topLeftCell="A40">
      <selection activeCell="H47" sqref="H47"/>
      <pageMargins left="0.75" right="0.75" top="1" bottom="1" header="0.5" footer="0.5"/>
      <pageSetup paperSize="9" scale="58" orientation="portrait" r:id="rId2"/>
      <headerFooter alignWithMargins="0"/>
    </customSheetView>
  </customSheetViews>
  <mergeCells count="9">
    <mergeCell ref="A4:B4"/>
    <mergeCell ref="C4:K4"/>
    <mergeCell ref="B6:K6"/>
    <mergeCell ref="B45:F45"/>
    <mergeCell ref="I48:K48"/>
    <mergeCell ref="B46:F46"/>
    <mergeCell ref="A48:B48"/>
    <mergeCell ref="C48:E48"/>
    <mergeCell ref="F48:H48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8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Arkusz58"/>
  <dimension ref="A2:K124"/>
  <sheetViews>
    <sheetView view="pageBreakPreview" topLeftCell="A97" zoomScale="85" zoomScaleNormal="100" zoomScaleSheetLayoutView="85" workbookViewId="0">
      <selection activeCell="C124" sqref="C124:E124"/>
    </sheetView>
  </sheetViews>
  <sheetFormatPr defaultRowHeight="12.75" x14ac:dyDescent="0.2"/>
  <cols>
    <col min="1" max="1" width="4" customWidth="1"/>
    <col min="2" max="2" width="22.85546875" customWidth="1"/>
    <col min="3" max="4" width="13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57</v>
      </c>
      <c r="D2" s="68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9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193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33" t="s">
        <v>180</v>
      </c>
      <c r="C8" s="25" t="s">
        <v>49</v>
      </c>
      <c r="D8" s="25" t="s">
        <v>169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ht="15" x14ac:dyDescent="0.25">
      <c r="A9" s="24">
        <v>1</v>
      </c>
      <c r="B9" s="33" t="str">
        <f>"Multipette M4"</f>
        <v>Multipette M4</v>
      </c>
      <c r="C9" s="69" t="s">
        <v>50</v>
      </c>
      <c r="D9" s="25" t="str">
        <f>"R15718G"</f>
        <v>R15718G</v>
      </c>
      <c r="E9" s="25" t="str">
        <f>"2022-12-18"</f>
        <v>2022-12-18</v>
      </c>
      <c r="F9" s="67"/>
      <c r="G9" s="25"/>
      <c r="H9" s="25"/>
      <c r="I9" s="5"/>
      <c r="J9" s="5"/>
      <c r="K9" s="5"/>
    </row>
    <row r="10" spans="1:11" x14ac:dyDescent="0.2">
      <c r="A10" s="24">
        <v>2</v>
      </c>
      <c r="B10" s="33" t="str">
        <f>"Reference"</f>
        <v>Reference</v>
      </c>
      <c r="C10" s="25" t="str">
        <f>"50 - 200µl"</f>
        <v>50 - 200µl</v>
      </c>
      <c r="D10" s="25" t="str">
        <f>"3852102"</f>
        <v>3852102</v>
      </c>
      <c r="E10" s="25" t="str">
        <f t="shared" ref="E10:E73" si="0">"2022-12-18"</f>
        <v>2022-12-18</v>
      </c>
      <c r="F10" s="67"/>
      <c r="G10" s="25"/>
      <c r="H10" s="25"/>
      <c r="I10" s="5"/>
      <c r="J10" s="5"/>
      <c r="K10" s="5"/>
    </row>
    <row r="11" spans="1:11" x14ac:dyDescent="0.2">
      <c r="A11" s="24">
        <v>3</v>
      </c>
      <c r="B11" s="33" t="str">
        <f t="shared" ref="B11:B28" si="1">"Research"</f>
        <v>Research</v>
      </c>
      <c r="C11" s="25" t="str">
        <f>"10 - 100µl "</f>
        <v xml:space="preserve">10 - 100µl </v>
      </c>
      <c r="D11" s="25" t="str">
        <f>"2959665"</f>
        <v>2959665</v>
      </c>
      <c r="E11" s="25" t="str">
        <f t="shared" si="0"/>
        <v>2022-12-18</v>
      </c>
      <c r="F11" s="67"/>
      <c r="G11" s="25"/>
      <c r="H11" s="25"/>
      <c r="I11" s="5"/>
      <c r="J11" s="5"/>
      <c r="K11" s="5"/>
    </row>
    <row r="12" spans="1:11" x14ac:dyDescent="0.2">
      <c r="A12" s="24">
        <v>4</v>
      </c>
      <c r="B12" s="33" t="str">
        <f t="shared" si="1"/>
        <v>Research</v>
      </c>
      <c r="C12" s="25" t="str">
        <f>"10 - 100µl "</f>
        <v xml:space="preserve">10 - 100µl </v>
      </c>
      <c r="D12" s="25" t="str">
        <f>"2960445"</f>
        <v>2960445</v>
      </c>
      <c r="E12" s="25" t="str">
        <f t="shared" si="0"/>
        <v>2022-12-18</v>
      </c>
      <c r="F12" s="67"/>
      <c r="G12" s="25"/>
      <c r="H12" s="25"/>
      <c r="I12" s="5"/>
      <c r="J12" s="5"/>
      <c r="K12" s="5"/>
    </row>
    <row r="13" spans="1:11" x14ac:dyDescent="0.2">
      <c r="A13" s="24">
        <v>5</v>
      </c>
      <c r="B13" s="33" t="str">
        <f t="shared" si="1"/>
        <v>Research</v>
      </c>
      <c r="C13" s="25" t="str">
        <f>"100 - 1000µl "</f>
        <v xml:space="preserve">100 - 1000µl </v>
      </c>
      <c r="D13" s="25" t="str">
        <f>"2987875"</f>
        <v>2987875</v>
      </c>
      <c r="E13" s="25" t="str">
        <f t="shared" si="0"/>
        <v>2022-12-18</v>
      </c>
      <c r="F13" s="67"/>
      <c r="G13" s="25"/>
      <c r="H13" s="25"/>
      <c r="I13" s="5"/>
      <c r="J13" s="5"/>
      <c r="K13" s="5"/>
    </row>
    <row r="14" spans="1:11" x14ac:dyDescent="0.2">
      <c r="A14" s="24">
        <v>6</v>
      </c>
      <c r="B14" s="33" t="str">
        <f t="shared" si="1"/>
        <v>Research</v>
      </c>
      <c r="C14" s="25" t="str">
        <f>"10 - 100µl "</f>
        <v xml:space="preserve">10 - 100µl </v>
      </c>
      <c r="D14" s="25" t="str">
        <f>"2959885"</f>
        <v>2959885</v>
      </c>
      <c r="E14" s="25" t="str">
        <f t="shared" si="0"/>
        <v>2022-12-18</v>
      </c>
      <c r="F14" s="67"/>
      <c r="G14" s="25"/>
      <c r="H14" s="25"/>
      <c r="I14" s="5"/>
      <c r="J14" s="5"/>
      <c r="K14" s="5"/>
    </row>
    <row r="15" spans="1:11" x14ac:dyDescent="0.2">
      <c r="A15" s="24">
        <v>7</v>
      </c>
      <c r="B15" s="33" t="str">
        <f t="shared" si="1"/>
        <v>Research</v>
      </c>
      <c r="C15" s="25" t="str">
        <f>"100 - 1000µl "</f>
        <v xml:space="preserve">100 - 1000µl </v>
      </c>
      <c r="D15" s="25" t="str">
        <f>"2988485"</f>
        <v>2988485</v>
      </c>
      <c r="E15" s="25" t="str">
        <f t="shared" si="0"/>
        <v>2022-12-18</v>
      </c>
      <c r="F15" s="67"/>
      <c r="G15" s="25"/>
      <c r="H15" s="25"/>
      <c r="I15" s="5"/>
      <c r="J15" s="5"/>
      <c r="K15" s="5"/>
    </row>
    <row r="16" spans="1:11" x14ac:dyDescent="0.2">
      <c r="A16" s="24">
        <v>8</v>
      </c>
      <c r="B16" s="33" t="str">
        <f t="shared" si="1"/>
        <v>Research</v>
      </c>
      <c r="C16" s="25" t="str">
        <f>"10 - 100µl "</f>
        <v xml:space="preserve">10 - 100µl </v>
      </c>
      <c r="D16" s="25" t="str">
        <f>"2961105"</f>
        <v>2961105</v>
      </c>
      <c r="E16" s="25" t="str">
        <f t="shared" si="0"/>
        <v>2022-12-18</v>
      </c>
      <c r="F16" s="67"/>
      <c r="G16" s="25"/>
      <c r="H16" s="25"/>
      <c r="I16" s="5"/>
      <c r="J16" s="5"/>
      <c r="K16" s="5"/>
    </row>
    <row r="17" spans="1:11" x14ac:dyDescent="0.2">
      <c r="A17" s="24">
        <v>9</v>
      </c>
      <c r="B17" s="33" t="str">
        <f t="shared" si="1"/>
        <v>Research</v>
      </c>
      <c r="C17" s="25" t="str">
        <f>"100 - 1000µl "</f>
        <v xml:space="preserve">100 - 1000µl </v>
      </c>
      <c r="D17" s="25" t="str">
        <f>"2987635"</f>
        <v>2987635</v>
      </c>
      <c r="E17" s="25" t="str">
        <f t="shared" si="0"/>
        <v>2022-12-18</v>
      </c>
      <c r="F17" s="67"/>
      <c r="G17" s="25"/>
      <c r="H17" s="25"/>
      <c r="I17" s="5"/>
      <c r="J17" s="5"/>
      <c r="K17" s="5"/>
    </row>
    <row r="18" spans="1:11" x14ac:dyDescent="0.2">
      <c r="A18" s="24">
        <v>10</v>
      </c>
      <c r="B18" s="33" t="str">
        <f t="shared" si="1"/>
        <v>Research</v>
      </c>
      <c r="C18" s="25" t="str">
        <f>"2 - 20µl "</f>
        <v xml:space="preserve">2 - 20µl </v>
      </c>
      <c r="D18" s="25" t="str">
        <f>"1839785"</f>
        <v>1839785</v>
      </c>
      <c r="E18" s="25" t="str">
        <f t="shared" si="0"/>
        <v>2022-12-18</v>
      </c>
      <c r="F18" s="67"/>
      <c r="G18" s="25"/>
      <c r="H18" s="25"/>
      <c r="I18" s="5"/>
      <c r="J18" s="5"/>
      <c r="K18" s="5"/>
    </row>
    <row r="19" spans="1:11" x14ac:dyDescent="0.2">
      <c r="A19" s="24">
        <v>11</v>
      </c>
      <c r="B19" s="33" t="str">
        <f t="shared" si="1"/>
        <v>Research</v>
      </c>
      <c r="C19" s="25" t="str">
        <f>"100 - 1000µl "</f>
        <v xml:space="preserve">100 - 1000µl </v>
      </c>
      <c r="D19" s="25" t="str">
        <f>"2988175"</f>
        <v>2988175</v>
      </c>
      <c r="E19" s="25" t="str">
        <f t="shared" si="0"/>
        <v>2022-12-18</v>
      </c>
      <c r="F19" s="67"/>
      <c r="G19" s="25"/>
      <c r="H19" s="25"/>
      <c r="I19" s="5"/>
      <c r="J19" s="5"/>
      <c r="K19" s="5"/>
    </row>
    <row r="20" spans="1:11" x14ac:dyDescent="0.2">
      <c r="A20" s="24">
        <v>12</v>
      </c>
      <c r="B20" s="33" t="str">
        <f t="shared" si="1"/>
        <v>Research</v>
      </c>
      <c r="C20" s="25" t="str">
        <f>"10 - 100µl"</f>
        <v>10 - 100µl</v>
      </c>
      <c r="D20" s="25" t="str">
        <f>"365227Z"</f>
        <v>365227Z</v>
      </c>
      <c r="E20" s="25" t="str">
        <f t="shared" si="0"/>
        <v>2022-12-18</v>
      </c>
      <c r="F20" s="67"/>
      <c r="G20" s="25"/>
      <c r="H20" s="25"/>
      <c r="I20" s="5"/>
      <c r="J20" s="5"/>
      <c r="K20" s="5"/>
    </row>
    <row r="21" spans="1:11" x14ac:dyDescent="0.2">
      <c r="A21" s="24">
        <v>13</v>
      </c>
      <c r="B21" s="33" t="str">
        <f t="shared" si="1"/>
        <v>Research</v>
      </c>
      <c r="C21" s="25" t="str">
        <f>"20 - 200µl"</f>
        <v>20 - 200µl</v>
      </c>
      <c r="D21" s="25" t="str">
        <f>"4560851"</f>
        <v>4560851</v>
      </c>
      <c r="E21" s="25" t="str">
        <f t="shared" si="0"/>
        <v>2022-12-18</v>
      </c>
      <c r="F21" s="67"/>
      <c r="G21" s="25"/>
      <c r="H21" s="25"/>
      <c r="I21" s="5"/>
      <c r="J21" s="5"/>
      <c r="K21" s="5"/>
    </row>
    <row r="22" spans="1:11" x14ac:dyDescent="0.2">
      <c r="A22" s="24">
        <v>14</v>
      </c>
      <c r="B22" s="33" t="str">
        <f t="shared" si="1"/>
        <v>Research</v>
      </c>
      <c r="C22" s="25" t="str">
        <f>"2 - 20µl"</f>
        <v>2 - 20µl</v>
      </c>
      <c r="D22" s="25" t="str">
        <f>"254323"</f>
        <v>254323</v>
      </c>
      <c r="E22" s="25" t="str">
        <f t="shared" si="0"/>
        <v>2022-12-18</v>
      </c>
      <c r="F22" s="67"/>
      <c r="G22" s="25"/>
      <c r="H22" s="25"/>
      <c r="I22" s="5"/>
      <c r="J22" s="5"/>
      <c r="K22" s="5"/>
    </row>
    <row r="23" spans="1:11" x14ac:dyDescent="0.2">
      <c r="A23" s="24">
        <v>15</v>
      </c>
      <c r="B23" s="33" t="str">
        <f t="shared" si="1"/>
        <v>Research</v>
      </c>
      <c r="C23" s="25" t="str">
        <f>"10 - 100µl"</f>
        <v>10 - 100µl</v>
      </c>
      <c r="D23" s="25" t="str">
        <f>"4521551"</f>
        <v>4521551</v>
      </c>
      <c r="E23" s="25" t="str">
        <f t="shared" si="0"/>
        <v>2022-12-18</v>
      </c>
      <c r="F23" s="67"/>
      <c r="G23" s="25"/>
      <c r="H23" s="25"/>
      <c r="I23" s="5"/>
      <c r="J23" s="5"/>
      <c r="K23" s="5"/>
    </row>
    <row r="24" spans="1:11" x14ac:dyDescent="0.2">
      <c r="A24" s="24">
        <v>16</v>
      </c>
      <c r="B24" s="33" t="str">
        <f t="shared" si="1"/>
        <v>Research</v>
      </c>
      <c r="C24" s="25" t="str">
        <f>"20 - 200µl"</f>
        <v>20 - 200µl</v>
      </c>
      <c r="D24" s="25" t="str">
        <f>"4557961"</f>
        <v>4557961</v>
      </c>
      <c r="E24" s="25" t="str">
        <f t="shared" si="0"/>
        <v>2022-12-18</v>
      </c>
      <c r="F24" s="67"/>
      <c r="G24" s="25"/>
      <c r="H24" s="25"/>
      <c r="I24" s="5"/>
      <c r="J24" s="5"/>
      <c r="K24" s="5"/>
    </row>
    <row r="25" spans="1:11" x14ac:dyDescent="0.2">
      <c r="A25" s="24">
        <v>17</v>
      </c>
      <c r="B25" s="33" t="str">
        <f t="shared" si="1"/>
        <v>Research</v>
      </c>
      <c r="C25" s="25" t="str">
        <f>"200 - 1000µl"</f>
        <v>200 - 1000µl</v>
      </c>
      <c r="D25" s="25" t="str">
        <f>"295849"</f>
        <v>295849</v>
      </c>
      <c r="E25" s="25" t="str">
        <f t="shared" si="0"/>
        <v>2022-12-18</v>
      </c>
      <c r="F25" s="67"/>
      <c r="G25" s="25"/>
      <c r="H25" s="25"/>
      <c r="I25" s="5"/>
      <c r="J25" s="5"/>
      <c r="K25" s="5"/>
    </row>
    <row r="26" spans="1:11" x14ac:dyDescent="0.2">
      <c r="A26" s="24">
        <v>18</v>
      </c>
      <c r="B26" s="33" t="str">
        <f t="shared" si="1"/>
        <v>Research</v>
      </c>
      <c r="C26" s="25" t="str">
        <f>"2 - 20µl"</f>
        <v>2 - 20µl</v>
      </c>
      <c r="D26" s="25" t="str">
        <f>"3446221"</f>
        <v>3446221</v>
      </c>
      <c r="E26" s="25" t="str">
        <f t="shared" si="0"/>
        <v>2022-12-18</v>
      </c>
      <c r="F26" s="67"/>
      <c r="G26" s="25"/>
      <c r="H26" s="25"/>
      <c r="I26" s="5"/>
      <c r="J26" s="5"/>
      <c r="K26" s="5"/>
    </row>
    <row r="27" spans="1:11" x14ac:dyDescent="0.2">
      <c r="A27" s="24">
        <v>19</v>
      </c>
      <c r="B27" s="33" t="str">
        <f t="shared" si="1"/>
        <v>Research</v>
      </c>
      <c r="C27" s="25" t="str">
        <f>"100 - 1000µl"</f>
        <v>100 - 1000µl</v>
      </c>
      <c r="D27" s="25" t="str">
        <f>"4590481"</f>
        <v>4590481</v>
      </c>
      <c r="E27" s="25" t="str">
        <f t="shared" si="0"/>
        <v>2022-12-18</v>
      </c>
      <c r="F27" s="67"/>
      <c r="G27" s="25"/>
      <c r="H27" s="25"/>
      <c r="I27" s="5"/>
      <c r="J27" s="5"/>
      <c r="K27" s="5"/>
    </row>
    <row r="28" spans="1:11" x14ac:dyDescent="0.2">
      <c r="A28" s="24">
        <v>20</v>
      </c>
      <c r="B28" s="33" t="str">
        <f t="shared" si="1"/>
        <v>Research</v>
      </c>
      <c r="C28" s="25" t="str">
        <f>"20 - 200µl"</f>
        <v>20 - 200µl</v>
      </c>
      <c r="D28" s="25" t="str">
        <f>"2142749"</f>
        <v>2142749</v>
      </c>
      <c r="E28" s="25" t="str">
        <f t="shared" si="0"/>
        <v>2022-12-18</v>
      </c>
      <c r="F28" s="67"/>
      <c r="G28" s="25"/>
      <c r="H28" s="25"/>
      <c r="I28" s="5"/>
      <c r="J28" s="5"/>
      <c r="K28" s="5"/>
    </row>
    <row r="29" spans="1:11" x14ac:dyDescent="0.2">
      <c r="A29" s="24">
        <v>21</v>
      </c>
      <c r="B29" s="33" t="str">
        <f>"Research plus"</f>
        <v>Research plus</v>
      </c>
      <c r="C29" s="25" t="str">
        <f>"100 - 1000µl "</f>
        <v xml:space="preserve">100 - 1000µl </v>
      </c>
      <c r="D29" s="25" t="str">
        <f>"362308A"</f>
        <v>362308A</v>
      </c>
      <c r="E29" s="25" t="str">
        <f t="shared" si="0"/>
        <v>2022-12-18</v>
      </c>
      <c r="F29" s="67"/>
      <c r="G29" s="25"/>
      <c r="H29" s="25"/>
      <c r="I29" s="5"/>
      <c r="J29" s="5"/>
      <c r="K29" s="5"/>
    </row>
    <row r="30" spans="1:11" x14ac:dyDescent="0.2">
      <c r="A30" s="24">
        <v>22</v>
      </c>
      <c r="B30" s="33" t="str">
        <f t="shared" ref="B30:B93" si="2">"Research plus"</f>
        <v>Research plus</v>
      </c>
      <c r="C30" s="25" t="str">
        <f>"100 - 1000µl "</f>
        <v xml:space="preserve">100 - 1000µl </v>
      </c>
      <c r="D30" s="25" t="str">
        <f>"362497A"</f>
        <v>362497A</v>
      </c>
      <c r="E30" s="25" t="str">
        <f t="shared" si="0"/>
        <v>2022-12-18</v>
      </c>
      <c r="F30" s="67"/>
      <c r="G30" s="25"/>
      <c r="H30" s="25"/>
      <c r="I30" s="5"/>
      <c r="J30" s="5"/>
      <c r="K30" s="5"/>
    </row>
    <row r="31" spans="1:11" x14ac:dyDescent="0.2">
      <c r="A31" s="24">
        <v>23</v>
      </c>
      <c r="B31" s="33" t="str">
        <f t="shared" si="2"/>
        <v>Research plus</v>
      </c>
      <c r="C31" s="25" t="str">
        <f>"0,5 - 5µl "</f>
        <v xml:space="preserve">0,5 - 5µl </v>
      </c>
      <c r="D31" s="25" t="str">
        <f>"I26430F"</f>
        <v>I26430F</v>
      </c>
      <c r="E31" s="25" t="str">
        <f t="shared" si="0"/>
        <v>2022-12-18</v>
      </c>
      <c r="F31" s="67"/>
      <c r="G31" s="25"/>
      <c r="H31" s="25"/>
      <c r="I31" s="5"/>
      <c r="J31" s="5"/>
      <c r="K31" s="5"/>
    </row>
    <row r="32" spans="1:11" x14ac:dyDescent="0.2">
      <c r="A32" s="24">
        <v>24</v>
      </c>
      <c r="B32" s="33" t="str">
        <f t="shared" si="2"/>
        <v>Research plus</v>
      </c>
      <c r="C32" s="25" t="str">
        <f>"500 - 5000µl "</f>
        <v xml:space="preserve">500 - 5000µl </v>
      </c>
      <c r="D32" s="25" t="str">
        <f>"J26430F"</f>
        <v>J26430F</v>
      </c>
      <c r="E32" s="25" t="str">
        <f t="shared" si="0"/>
        <v>2022-12-18</v>
      </c>
      <c r="F32" s="67"/>
      <c r="G32" s="25"/>
      <c r="H32" s="25"/>
      <c r="I32" s="5"/>
      <c r="J32" s="5"/>
      <c r="K32" s="5"/>
    </row>
    <row r="33" spans="1:11" x14ac:dyDescent="0.2">
      <c r="A33" s="24">
        <v>25</v>
      </c>
      <c r="B33" s="33" t="str">
        <f t="shared" si="2"/>
        <v>Research plus</v>
      </c>
      <c r="C33" s="25" t="str">
        <f>"10 - 100µl "</f>
        <v xml:space="preserve">10 - 100µl </v>
      </c>
      <c r="D33" s="25" t="str">
        <f>"214445A"</f>
        <v>214445A</v>
      </c>
      <c r="E33" s="25" t="str">
        <f t="shared" si="0"/>
        <v>2022-12-18</v>
      </c>
      <c r="F33" s="67"/>
      <c r="G33" s="25"/>
      <c r="H33" s="25"/>
      <c r="I33" s="5"/>
      <c r="J33" s="5"/>
      <c r="K33" s="5"/>
    </row>
    <row r="34" spans="1:11" x14ac:dyDescent="0.2">
      <c r="A34" s="24">
        <v>26</v>
      </c>
      <c r="B34" s="33" t="str">
        <f t="shared" si="2"/>
        <v>Research plus</v>
      </c>
      <c r="C34" s="25" t="str">
        <f>"100 - 1000µl "</f>
        <v xml:space="preserve">100 - 1000µl </v>
      </c>
      <c r="D34" s="25" t="str">
        <f>"364467Z"</f>
        <v>364467Z</v>
      </c>
      <c r="E34" s="25" t="str">
        <f t="shared" si="0"/>
        <v>2022-12-18</v>
      </c>
      <c r="F34" s="67"/>
      <c r="G34" s="25"/>
      <c r="H34" s="25"/>
      <c r="I34" s="5"/>
      <c r="J34" s="5"/>
      <c r="K34" s="5"/>
    </row>
    <row r="35" spans="1:11" x14ac:dyDescent="0.2">
      <c r="A35" s="24">
        <v>27</v>
      </c>
      <c r="B35" s="33" t="str">
        <f t="shared" si="2"/>
        <v>Research plus</v>
      </c>
      <c r="C35" s="25" t="str">
        <f>"2 - 20µl"</f>
        <v>2 - 20µl</v>
      </c>
      <c r="D35" s="25" t="str">
        <f>"P29578C"</f>
        <v>P29578C</v>
      </c>
      <c r="E35" s="25" t="str">
        <f t="shared" si="0"/>
        <v>2022-12-18</v>
      </c>
      <c r="F35" s="67"/>
      <c r="G35" s="25"/>
      <c r="H35" s="25"/>
      <c r="I35" s="5"/>
      <c r="J35" s="5"/>
      <c r="K35" s="5"/>
    </row>
    <row r="36" spans="1:11" x14ac:dyDescent="0.2">
      <c r="A36" s="24">
        <v>28</v>
      </c>
      <c r="B36" s="33" t="str">
        <f t="shared" si="2"/>
        <v>Research plus</v>
      </c>
      <c r="C36" s="25" t="str">
        <f>"10 - 100µl"</f>
        <v>10 - 100µl</v>
      </c>
      <c r="D36" s="25" t="str">
        <f>"214403A"</f>
        <v>214403A</v>
      </c>
      <c r="E36" s="25" t="str">
        <f t="shared" si="0"/>
        <v>2022-12-18</v>
      </c>
      <c r="F36" s="67"/>
      <c r="G36" s="25"/>
      <c r="H36" s="25"/>
      <c r="I36" s="5"/>
      <c r="J36" s="5"/>
      <c r="K36" s="5"/>
    </row>
    <row r="37" spans="1:11" x14ac:dyDescent="0.2">
      <c r="A37" s="24">
        <v>29</v>
      </c>
      <c r="B37" s="33" t="str">
        <f t="shared" si="2"/>
        <v>Research plus</v>
      </c>
      <c r="C37" s="25" t="str">
        <f>"10 - 100µl"</f>
        <v>10 - 100µl</v>
      </c>
      <c r="D37" s="25" t="str">
        <f>"O36485C"</f>
        <v>O36485C</v>
      </c>
      <c r="E37" s="25" t="str">
        <f t="shared" si="0"/>
        <v>2022-12-18</v>
      </c>
      <c r="F37" s="67"/>
      <c r="G37" s="25"/>
      <c r="H37" s="25"/>
      <c r="I37" s="5"/>
      <c r="J37" s="5"/>
      <c r="K37" s="5"/>
    </row>
    <row r="38" spans="1:11" x14ac:dyDescent="0.2">
      <c r="A38" s="24">
        <v>30</v>
      </c>
      <c r="B38" s="33" t="str">
        <f t="shared" si="2"/>
        <v>Research plus</v>
      </c>
      <c r="C38" s="25" t="str">
        <f>"2 - 20µl"</f>
        <v>2 - 20µl</v>
      </c>
      <c r="D38" s="25" t="str">
        <f>"252001Z"</f>
        <v>252001Z</v>
      </c>
      <c r="E38" s="25" t="str">
        <f t="shared" si="0"/>
        <v>2022-12-18</v>
      </c>
      <c r="F38" s="67"/>
      <c r="G38" s="25"/>
      <c r="H38" s="25"/>
      <c r="I38" s="5"/>
      <c r="J38" s="5"/>
      <c r="K38" s="5"/>
    </row>
    <row r="39" spans="1:11" x14ac:dyDescent="0.2">
      <c r="A39" s="24">
        <v>31</v>
      </c>
      <c r="B39" s="33" t="str">
        <f t="shared" si="2"/>
        <v>Research plus</v>
      </c>
      <c r="C39" s="25" t="str">
        <f>"100 - 1000µl"</f>
        <v>100 - 1000µl</v>
      </c>
      <c r="D39" s="25" t="str">
        <f>"364475Z"</f>
        <v>364475Z</v>
      </c>
      <c r="E39" s="25" t="str">
        <f t="shared" si="0"/>
        <v>2022-12-18</v>
      </c>
      <c r="F39" s="67"/>
      <c r="G39" s="25"/>
      <c r="H39" s="25"/>
      <c r="I39" s="5"/>
      <c r="J39" s="5"/>
      <c r="K39" s="5"/>
    </row>
    <row r="40" spans="1:11" x14ac:dyDescent="0.2">
      <c r="A40" s="24">
        <v>32</v>
      </c>
      <c r="B40" s="33" t="str">
        <f t="shared" si="2"/>
        <v>Research plus</v>
      </c>
      <c r="C40" s="25" t="str">
        <f>"2 - 20µl"</f>
        <v>2 - 20µl</v>
      </c>
      <c r="D40" s="25" t="str">
        <f>"P31692B"</f>
        <v>P31692B</v>
      </c>
      <c r="E40" s="25" t="str">
        <f t="shared" si="0"/>
        <v>2022-12-18</v>
      </c>
      <c r="F40" s="67"/>
      <c r="G40" s="25"/>
      <c r="H40" s="25"/>
      <c r="I40" s="5"/>
      <c r="J40" s="5"/>
      <c r="K40" s="5"/>
    </row>
    <row r="41" spans="1:11" x14ac:dyDescent="0.2">
      <c r="A41" s="24">
        <v>33</v>
      </c>
      <c r="B41" s="33" t="str">
        <f t="shared" si="2"/>
        <v>Research plus</v>
      </c>
      <c r="C41" s="25" t="str">
        <f>"2 - 20µl"</f>
        <v>2 - 20µl</v>
      </c>
      <c r="D41" s="25" t="str">
        <f>"273782A"</f>
        <v>273782A</v>
      </c>
      <c r="E41" s="25" t="str">
        <f t="shared" si="0"/>
        <v>2022-12-18</v>
      </c>
      <c r="F41" s="67"/>
      <c r="G41" s="25"/>
      <c r="H41" s="25"/>
      <c r="I41" s="5"/>
      <c r="J41" s="5"/>
      <c r="K41" s="5"/>
    </row>
    <row r="42" spans="1:11" x14ac:dyDescent="0.2">
      <c r="A42" s="24">
        <v>34</v>
      </c>
      <c r="B42" s="33" t="str">
        <f t="shared" si="2"/>
        <v>Research plus</v>
      </c>
      <c r="C42" s="25" t="str">
        <f>"0,5 - 10µl"</f>
        <v>0,5 - 10µl</v>
      </c>
      <c r="D42" s="25" t="str">
        <f>"3424851"</f>
        <v>3424851</v>
      </c>
      <c r="E42" s="25" t="str">
        <f t="shared" si="0"/>
        <v>2022-12-18</v>
      </c>
      <c r="F42" s="67"/>
      <c r="G42" s="25"/>
      <c r="H42" s="25"/>
      <c r="I42" s="5"/>
      <c r="J42" s="5"/>
      <c r="K42" s="5"/>
    </row>
    <row r="43" spans="1:11" x14ac:dyDescent="0.2">
      <c r="A43" s="24">
        <v>35</v>
      </c>
      <c r="B43" s="33" t="str">
        <f t="shared" si="2"/>
        <v>Research plus</v>
      </c>
      <c r="C43" s="25" t="str">
        <f>"2 - 20µl"</f>
        <v>2 - 20µl</v>
      </c>
      <c r="D43" s="25" t="str">
        <f>"1305429"</f>
        <v>1305429</v>
      </c>
      <c r="E43" s="25" t="str">
        <f t="shared" si="0"/>
        <v>2022-12-18</v>
      </c>
      <c r="F43" s="67"/>
      <c r="G43" s="25"/>
      <c r="H43" s="25"/>
      <c r="I43" s="5"/>
      <c r="J43" s="5"/>
      <c r="K43" s="5"/>
    </row>
    <row r="44" spans="1:11" x14ac:dyDescent="0.2">
      <c r="A44" s="24">
        <v>36</v>
      </c>
      <c r="B44" s="33" t="str">
        <f t="shared" si="2"/>
        <v>Research plus</v>
      </c>
      <c r="C44" s="25" t="str">
        <f>"20 - 200µl"</f>
        <v>20 - 200µl</v>
      </c>
      <c r="D44" s="25" t="str">
        <f>"2487319"</f>
        <v>2487319</v>
      </c>
      <c r="E44" s="25" t="str">
        <f t="shared" si="0"/>
        <v>2022-12-18</v>
      </c>
      <c r="F44" s="67"/>
      <c r="G44" s="25"/>
      <c r="H44" s="25"/>
      <c r="I44" s="5"/>
      <c r="J44" s="5"/>
      <c r="K44" s="5"/>
    </row>
    <row r="45" spans="1:11" x14ac:dyDescent="0.2">
      <c r="A45" s="24">
        <v>37</v>
      </c>
      <c r="B45" s="33" t="str">
        <f t="shared" si="2"/>
        <v>Research plus</v>
      </c>
      <c r="C45" s="25" t="str">
        <f>"100 - 1000µl"</f>
        <v>100 - 1000µl</v>
      </c>
      <c r="D45" s="25" t="str">
        <f>"2493089"</f>
        <v>2493089</v>
      </c>
      <c r="E45" s="25" t="str">
        <f t="shared" si="0"/>
        <v>2022-12-18</v>
      </c>
      <c r="F45" s="67"/>
      <c r="G45" s="25"/>
      <c r="H45" s="25"/>
      <c r="I45" s="5"/>
      <c r="J45" s="5"/>
      <c r="K45" s="5"/>
    </row>
    <row r="46" spans="1:11" x14ac:dyDescent="0.2">
      <c r="A46" s="24">
        <v>38</v>
      </c>
      <c r="B46" s="33" t="str">
        <f t="shared" si="2"/>
        <v>Research plus</v>
      </c>
      <c r="C46" s="25" t="str">
        <f>"2 - 20µl"</f>
        <v>2 - 20µl</v>
      </c>
      <c r="D46" s="25" t="str">
        <f>"336667A"</f>
        <v>336667A</v>
      </c>
      <c r="E46" s="25" t="str">
        <f t="shared" si="0"/>
        <v>2022-12-18</v>
      </c>
      <c r="F46" s="67"/>
      <c r="G46" s="25"/>
      <c r="H46" s="25"/>
      <c r="I46" s="5"/>
      <c r="J46" s="5"/>
      <c r="K46" s="5"/>
    </row>
    <row r="47" spans="1:11" x14ac:dyDescent="0.2">
      <c r="A47" s="24">
        <v>39</v>
      </c>
      <c r="B47" s="33" t="str">
        <f t="shared" si="2"/>
        <v>Research plus</v>
      </c>
      <c r="C47" s="25" t="str">
        <f>"2 - 20µl"</f>
        <v>2 - 20µl</v>
      </c>
      <c r="D47" s="25" t="str">
        <f>"P31579B"</f>
        <v>P31579B</v>
      </c>
      <c r="E47" s="25" t="str">
        <f t="shared" si="0"/>
        <v>2022-12-18</v>
      </c>
      <c r="F47" s="67"/>
      <c r="G47" s="25"/>
      <c r="H47" s="25"/>
      <c r="I47" s="5"/>
      <c r="J47" s="5"/>
      <c r="K47" s="5"/>
    </row>
    <row r="48" spans="1:11" x14ac:dyDescent="0.2">
      <c r="A48" s="24">
        <v>40</v>
      </c>
      <c r="B48" s="33" t="str">
        <f t="shared" si="2"/>
        <v>Research plus</v>
      </c>
      <c r="C48" s="25" t="str">
        <f t="shared" ref="C48:C55" si="3">"0,1 - 2,5µl"</f>
        <v>0,1 - 2,5µl</v>
      </c>
      <c r="D48" s="25" t="str">
        <f>"P10388G"</f>
        <v>P10388G</v>
      </c>
      <c r="E48" s="25" t="str">
        <f t="shared" si="0"/>
        <v>2022-12-18</v>
      </c>
      <c r="F48" s="67"/>
      <c r="G48" s="25"/>
      <c r="H48" s="25"/>
      <c r="I48" s="5"/>
      <c r="J48" s="5"/>
      <c r="K48" s="5"/>
    </row>
    <row r="49" spans="1:11" x14ac:dyDescent="0.2">
      <c r="A49" s="24">
        <v>41</v>
      </c>
      <c r="B49" s="33" t="str">
        <f t="shared" si="2"/>
        <v>Research plus</v>
      </c>
      <c r="C49" s="25" t="str">
        <f t="shared" si="3"/>
        <v>0,1 - 2,5µl</v>
      </c>
      <c r="D49" s="25" t="str">
        <f>"P10571G"</f>
        <v>P10571G</v>
      </c>
      <c r="E49" s="25" t="str">
        <f t="shared" si="0"/>
        <v>2022-12-18</v>
      </c>
      <c r="F49" s="67"/>
      <c r="G49" s="25"/>
      <c r="H49" s="25"/>
      <c r="I49" s="5"/>
      <c r="J49" s="5"/>
      <c r="K49" s="5"/>
    </row>
    <row r="50" spans="1:11" x14ac:dyDescent="0.2">
      <c r="A50" s="24">
        <v>42</v>
      </c>
      <c r="B50" s="33" t="str">
        <f t="shared" si="2"/>
        <v>Research plus</v>
      </c>
      <c r="C50" s="25" t="str">
        <f t="shared" si="3"/>
        <v>0,1 - 2,5µl</v>
      </c>
      <c r="D50" s="25" t="str">
        <f>"P10392G"</f>
        <v>P10392G</v>
      </c>
      <c r="E50" s="25" t="str">
        <f t="shared" si="0"/>
        <v>2022-12-18</v>
      </c>
      <c r="F50" s="67"/>
      <c r="G50" s="25"/>
      <c r="H50" s="25"/>
      <c r="I50" s="5"/>
      <c r="J50" s="5"/>
      <c r="K50" s="5"/>
    </row>
    <row r="51" spans="1:11" x14ac:dyDescent="0.2">
      <c r="A51" s="24">
        <v>43</v>
      </c>
      <c r="B51" s="33" t="str">
        <f t="shared" si="2"/>
        <v>Research plus</v>
      </c>
      <c r="C51" s="25" t="str">
        <f t="shared" si="3"/>
        <v>0,1 - 2,5µl</v>
      </c>
      <c r="D51" s="25" t="str">
        <f>"P10382G"</f>
        <v>P10382G</v>
      </c>
      <c r="E51" s="25" t="str">
        <f t="shared" si="0"/>
        <v>2022-12-18</v>
      </c>
      <c r="F51" s="67"/>
      <c r="G51" s="25"/>
      <c r="H51" s="25"/>
      <c r="I51" s="5"/>
      <c r="J51" s="5"/>
      <c r="K51" s="5"/>
    </row>
    <row r="52" spans="1:11" x14ac:dyDescent="0.2">
      <c r="A52" s="24">
        <v>44</v>
      </c>
      <c r="B52" s="33" t="str">
        <f t="shared" si="2"/>
        <v>Research plus</v>
      </c>
      <c r="C52" s="25" t="str">
        <f t="shared" si="3"/>
        <v>0,1 - 2,5µl</v>
      </c>
      <c r="D52" s="25" t="str">
        <f>"P10387G"</f>
        <v>P10387G</v>
      </c>
      <c r="E52" s="25" t="str">
        <f t="shared" si="0"/>
        <v>2022-12-18</v>
      </c>
      <c r="F52" s="67"/>
      <c r="G52" s="25"/>
      <c r="H52" s="25"/>
      <c r="I52" s="5"/>
      <c r="J52" s="5"/>
      <c r="K52" s="5"/>
    </row>
    <row r="53" spans="1:11" x14ac:dyDescent="0.2">
      <c r="A53" s="24">
        <v>45</v>
      </c>
      <c r="B53" s="33" t="str">
        <f t="shared" si="2"/>
        <v>Research plus</v>
      </c>
      <c r="C53" s="25" t="str">
        <f t="shared" si="3"/>
        <v>0,1 - 2,5µl</v>
      </c>
      <c r="D53" s="25" t="str">
        <f>"P10574G"</f>
        <v>P10574G</v>
      </c>
      <c r="E53" s="25" t="str">
        <f t="shared" si="0"/>
        <v>2022-12-18</v>
      </c>
      <c r="F53" s="67"/>
      <c r="G53" s="25"/>
      <c r="H53" s="25"/>
      <c r="I53" s="5"/>
      <c r="J53" s="5"/>
      <c r="K53" s="5"/>
    </row>
    <row r="54" spans="1:11" x14ac:dyDescent="0.2">
      <c r="A54" s="24">
        <v>46</v>
      </c>
      <c r="B54" s="33" t="str">
        <f t="shared" si="2"/>
        <v>Research plus</v>
      </c>
      <c r="C54" s="25" t="str">
        <f t="shared" si="3"/>
        <v>0,1 - 2,5µl</v>
      </c>
      <c r="D54" s="25" t="str">
        <f>"P10390G"</f>
        <v>P10390G</v>
      </c>
      <c r="E54" s="25" t="str">
        <f t="shared" si="0"/>
        <v>2022-12-18</v>
      </c>
      <c r="F54" s="67"/>
      <c r="G54" s="25"/>
      <c r="H54" s="25"/>
      <c r="I54" s="5"/>
      <c r="J54" s="5"/>
      <c r="K54" s="5"/>
    </row>
    <row r="55" spans="1:11" x14ac:dyDescent="0.2">
      <c r="A55" s="24">
        <v>47</v>
      </c>
      <c r="B55" s="33" t="str">
        <f t="shared" si="2"/>
        <v>Research plus</v>
      </c>
      <c r="C55" s="25" t="str">
        <f t="shared" si="3"/>
        <v>0,1 - 2,5µl</v>
      </c>
      <c r="D55" s="25" t="str">
        <f>"P10386G"</f>
        <v>P10386G</v>
      </c>
      <c r="E55" s="25" t="str">
        <f t="shared" si="0"/>
        <v>2022-12-18</v>
      </c>
      <c r="F55" s="67"/>
      <c r="G55" s="25"/>
      <c r="H55" s="25"/>
      <c r="I55" s="5"/>
      <c r="J55" s="5"/>
      <c r="K55" s="5"/>
    </row>
    <row r="56" spans="1:11" x14ac:dyDescent="0.2">
      <c r="A56" s="24">
        <v>48</v>
      </c>
      <c r="B56" s="33" t="str">
        <f t="shared" si="2"/>
        <v>Research plus</v>
      </c>
      <c r="C56" s="25" t="str">
        <f t="shared" ref="C56:C65" si="4">"0,5 - 10µl"</f>
        <v>0,5 - 10µl</v>
      </c>
      <c r="D56" s="25" t="str">
        <f>"O13994G"</f>
        <v>O13994G</v>
      </c>
      <c r="E56" s="25" t="str">
        <f t="shared" si="0"/>
        <v>2022-12-18</v>
      </c>
      <c r="F56" s="67"/>
      <c r="G56" s="25"/>
      <c r="H56" s="25"/>
      <c r="I56" s="5"/>
      <c r="J56" s="5"/>
      <c r="K56" s="5"/>
    </row>
    <row r="57" spans="1:11" x14ac:dyDescent="0.2">
      <c r="A57" s="24">
        <v>49</v>
      </c>
      <c r="B57" s="33" t="str">
        <f t="shared" si="2"/>
        <v>Research plus</v>
      </c>
      <c r="C57" s="25" t="str">
        <f t="shared" si="4"/>
        <v>0,5 - 10µl</v>
      </c>
      <c r="D57" s="25" t="str">
        <f>"O13993G"</f>
        <v>O13993G</v>
      </c>
      <c r="E57" s="25" t="str">
        <f t="shared" si="0"/>
        <v>2022-12-18</v>
      </c>
      <c r="F57" s="67"/>
      <c r="G57" s="25"/>
      <c r="H57" s="25"/>
      <c r="I57" s="5"/>
      <c r="J57" s="5"/>
      <c r="K57" s="5"/>
    </row>
    <row r="58" spans="1:11" x14ac:dyDescent="0.2">
      <c r="A58" s="24">
        <v>50</v>
      </c>
      <c r="B58" s="33" t="str">
        <f t="shared" si="2"/>
        <v>Research plus</v>
      </c>
      <c r="C58" s="25" t="str">
        <f t="shared" si="4"/>
        <v>0,5 - 10µl</v>
      </c>
      <c r="D58" s="25" t="str">
        <f>"O13995G"</f>
        <v>O13995G</v>
      </c>
      <c r="E58" s="25" t="str">
        <f t="shared" si="0"/>
        <v>2022-12-18</v>
      </c>
      <c r="F58" s="67"/>
      <c r="G58" s="25"/>
      <c r="H58" s="25"/>
      <c r="I58" s="5"/>
      <c r="J58" s="5"/>
      <c r="K58" s="5"/>
    </row>
    <row r="59" spans="1:11" x14ac:dyDescent="0.2">
      <c r="A59" s="24">
        <v>51</v>
      </c>
      <c r="B59" s="33" t="str">
        <f t="shared" si="2"/>
        <v>Research plus</v>
      </c>
      <c r="C59" s="25" t="str">
        <f t="shared" si="4"/>
        <v>0,5 - 10µl</v>
      </c>
      <c r="D59" s="25" t="str">
        <f>"O13610G"</f>
        <v>O13610G</v>
      </c>
      <c r="E59" s="25" t="str">
        <f t="shared" si="0"/>
        <v>2022-12-18</v>
      </c>
      <c r="F59" s="67"/>
      <c r="G59" s="25"/>
      <c r="H59" s="25"/>
      <c r="I59" s="5"/>
      <c r="J59" s="5"/>
      <c r="K59" s="5"/>
    </row>
    <row r="60" spans="1:11" x14ac:dyDescent="0.2">
      <c r="A60" s="24">
        <v>52</v>
      </c>
      <c r="B60" s="33" t="str">
        <f t="shared" si="2"/>
        <v>Research plus</v>
      </c>
      <c r="C60" s="25" t="str">
        <f t="shared" si="4"/>
        <v>0,5 - 10µl</v>
      </c>
      <c r="D60" s="25" t="str">
        <f>"O14001G"</f>
        <v>O14001G</v>
      </c>
      <c r="E60" s="25" t="str">
        <f t="shared" si="0"/>
        <v>2022-12-18</v>
      </c>
      <c r="F60" s="67"/>
      <c r="G60" s="25"/>
      <c r="H60" s="25"/>
      <c r="I60" s="5"/>
      <c r="J60" s="5"/>
      <c r="K60" s="5"/>
    </row>
    <row r="61" spans="1:11" x14ac:dyDescent="0.2">
      <c r="A61" s="24">
        <v>53</v>
      </c>
      <c r="B61" s="33" t="str">
        <f t="shared" si="2"/>
        <v>Research plus</v>
      </c>
      <c r="C61" s="25" t="str">
        <f t="shared" si="4"/>
        <v>0,5 - 10µl</v>
      </c>
      <c r="D61" s="25" t="str">
        <f>"O13722G"</f>
        <v>O13722G</v>
      </c>
      <c r="E61" s="25" t="str">
        <f t="shared" si="0"/>
        <v>2022-12-18</v>
      </c>
      <c r="F61" s="67"/>
      <c r="G61" s="25"/>
      <c r="H61" s="25"/>
      <c r="I61" s="5"/>
      <c r="J61" s="5"/>
      <c r="K61" s="5"/>
    </row>
    <row r="62" spans="1:11" x14ac:dyDescent="0.2">
      <c r="A62" s="24">
        <v>54</v>
      </c>
      <c r="B62" s="33" t="str">
        <f t="shared" si="2"/>
        <v>Research plus</v>
      </c>
      <c r="C62" s="25" t="str">
        <f t="shared" si="4"/>
        <v>0,5 - 10µl</v>
      </c>
      <c r="D62" s="25" t="str">
        <f>"O13539G"</f>
        <v>O13539G</v>
      </c>
      <c r="E62" s="25" t="str">
        <f t="shared" si="0"/>
        <v>2022-12-18</v>
      </c>
      <c r="F62" s="67"/>
      <c r="G62" s="25"/>
      <c r="H62" s="25"/>
      <c r="I62" s="5"/>
      <c r="J62" s="5"/>
      <c r="K62" s="5"/>
    </row>
    <row r="63" spans="1:11" x14ac:dyDescent="0.2">
      <c r="A63" s="24">
        <v>55</v>
      </c>
      <c r="B63" s="33" t="str">
        <f t="shared" si="2"/>
        <v>Research plus</v>
      </c>
      <c r="C63" s="25" t="str">
        <f t="shared" si="4"/>
        <v>0,5 - 10µl</v>
      </c>
      <c r="D63" s="25" t="str">
        <f>"O13937G"</f>
        <v>O13937G</v>
      </c>
      <c r="E63" s="25" t="str">
        <f t="shared" si="0"/>
        <v>2022-12-18</v>
      </c>
      <c r="F63" s="67"/>
      <c r="G63" s="25"/>
      <c r="H63" s="25"/>
      <c r="I63" s="5"/>
      <c r="J63" s="5"/>
      <c r="K63" s="5"/>
    </row>
    <row r="64" spans="1:11" x14ac:dyDescent="0.2">
      <c r="A64" s="24">
        <v>56</v>
      </c>
      <c r="B64" s="33" t="str">
        <f t="shared" si="2"/>
        <v>Research plus</v>
      </c>
      <c r="C64" s="25" t="str">
        <f t="shared" si="4"/>
        <v>0,5 - 10µl</v>
      </c>
      <c r="D64" s="25" t="str">
        <f>"O13942G"</f>
        <v>O13942G</v>
      </c>
      <c r="E64" s="25" t="str">
        <f t="shared" si="0"/>
        <v>2022-12-18</v>
      </c>
      <c r="F64" s="67"/>
      <c r="G64" s="25"/>
      <c r="H64" s="25"/>
      <c r="I64" s="5"/>
      <c r="J64" s="5"/>
      <c r="K64" s="5"/>
    </row>
    <row r="65" spans="1:11" x14ac:dyDescent="0.2">
      <c r="A65" s="24">
        <v>57</v>
      </c>
      <c r="B65" s="33" t="str">
        <f t="shared" si="2"/>
        <v>Research plus</v>
      </c>
      <c r="C65" s="25" t="str">
        <f t="shared" si="4"/>
        <v>0,5 - 10µl</v>
      </c>
      <c r="D65" s="25" t="str">
        <f>"O13603G"</f>
        <v>O13603G</v>
      </c>
      <c r="E65" s="25" t="str">
        <f t="shared" si="0"/>
        <v>2022-12-18</v>
      </c>
      <c r="F65" s="67"/>
      <c r="G65" s="25"/>
      <c r="H65" s="25"/>
      <c r="I65" s="5"/>
      <c r="J65" s="5"/>
      <c r="K65" s="5"/>
    </row>
    <row r="66" spans="1:11" x14ac:dyDescent="0.2">
      <c r="A66" s="24">
        <v>58</v>
      </c>
      <c r="B66" s="33" t="str">
        <f t="shared" si="2"/>
        <v>Research plus</v>
      </c>
      <c r="C66" s="25" t="str">
        <f t="shared" ref="C66:C77" si="5">"2,0 - 20µl"</f>
        <v>2,0 - 20µl</v>
      </c>
      <c r="D66" s="25" t="str">
        <f>"O24226G"</f>
        <v>O24226G</v>
      </c>
      <c r="E66" s="25" t="str">
        <f t="shared" si="0"/>
        <v>2022-12-18</v>
      </c>
      <c r="F66" s="67"/>
      <c r="G66" s="25"/>
      <c r="H66" s="25"/>
      <c r="I66" s="5"/>
      <c r="J66" s="5"/>
      <c r="K66" s="5"/>
    </row>
    <row r="67" spans="1:11" x14ac:dyDescent="0.2">
      <c r="A67" s="24">
        <v>59</v>
      </c>
      <c r="B67" s="33" t="str">
        <f t="shared" si="2"/>
        <v>Research plus</v>
      </c>
      <c r="C67" s="25" t="str">
        <f t="shared" si="5"/>
        <v>2,0 - 20µl</v>
      </c>
      <c r="D67" s="25" t="str">
        <f>"O24214G"</f>
        <v>O24214G</v>
      </c>
      <c r="E67" s="25" t="str">
        <f t="shared" si="0"/>
        <v>2022-12-18</v>
      </c>
      <c r="F67" s="67"/>
      <c r="G67" s="25"/>
      <c r="H67" s="25"/>
      <c r="I67" s="5"/>
      <c r="J67" s="5"/>
      <c r="K67" s="5"/>
    </row>
    <row r="68" spans="1:11" x14ac:dyDescent="0.2">
      <c r="A68" s="24">
        <v>60</v>
      </c>
      <c r="B68" s="33" t="str">
        <f t="shared" si="2"/>
        <v>Research plus</v>
      </c>
      <c r="C68" s="25" t="str">
        <f t="shared" si="5"/>
        <v>2,0 - 20µl</v>
      </c>
      <c r="D68" s="25" t="str">
        <f>"O24105G"</f>
        <v>O24105G</v>
      </c>
      <c r="E68" s="25" t="str">
        <f t="shared" si="0"/>
        <v>2022-12-18</v>
      </c>
      <c r="F68" s="67"/>
      <c r="G68" s="25"/>
      <c r="H68" s="25"/>
      <c r="I68" s="5"/>
      <c r="J68" s="5"/>
      <c r="K68" s="5"/>
    </row>
    <row r="69" spans="1:11" x14ac:dyDescent="0.2">
      <c r="A69" s="24">
        <v>61</v>
      </c>
      <c r="B69" s="33" t="str">
        <f t="shared" si="2"/>
        <v>Research plus</v>
      </c>
      <c r="C69" s="25" t="str">
        <f t="shared" si="5"/>
        <v>2,0 - 20µl</v>
      </c>
      <c r="D69" s="25" t="str">
        <f>"O24218G"</f>
        <v>O24218G</v>
      </c>
      <c r="E69" s="25" t="str">
        <f t="shared" si="0"/>
        <v>2022-12-18</v>
      </c>
      <c r="F69" s="67"/>
      <c r="G69" s="25"/>
      <c r="H69" s="25"/>
      <c r="I69" s="5"/>
      <c r="J69" s="5"/>
      <c r="K69" s="5"/>
    </row>
    <row r="70" spans="1:11" x14ac:dyDescent="0.2">
      <c r="A70" s="24">
        <v>62</v>
      </c>
      <c r="B70" s="33" t="str">
        <f t="shared" si="2"/>
        <v>Research plus</v>
      </c>
      <c r="C70" s="25" t="str">
        <f t="shared" si="5"/>
        <v>2,0 - 20µl</v>
      </c>
      <c r="D70" s="25" t="str">
        <f>"O24302G"</f>
        <v>O24302G</v>
      </c>
      <c r="E70" s="25" t="str">
        <f t="shared" si="0"/>
        <v>2022-12-18</v>
      </c>
      <c r="F70" s="67"/>
      <c r="G70" s="25"/>
      <c r="H70" s="25"/>
      <c r="I70" s="5"/>
      <c r="J70" s="5"/>
      <c r="K70" s="5"/>
    </row>
    <row r="71" spans="1:11" x14ac:dyDescent="0.2">
      <c r="A71" s="24">
        <v>63</v>
      </c>
      <c r="B71" s="33" t="str">
        <f t="shared" si="2"/>
        <v>Research plus</v>
      </c>
      <c r="C71" s="25" t="str">
        <f t="shared" si="5"/>
        <v>2,0 - 20µl</v>
      </c>
      <c r="D71" s="25" t="str">
        <f>"O24257G"</f>
        <v>O24257G</v>
      </c>
      <c r="E71" s="25" t="str">
        <f t="shared" si="0"/>
        <v>2022-12-18</v>
      </c>
      <c r="F71" s="67"/>
      <c r="G71" s="25"/>
      <c r="H71" s="25"/>
      <c r="I71" s="5"/>
      <c r="J71" s="5"/>
      <c r="K71" s="5"/>
    </row>
    <row r="72" spans="1:11" x14ac:dyDescent="0.2">
      <c r="A72" s="24">
        <v>64</v>
      </c>
      <c r="B72" s="33" t="str">
        <f t="shared" si="2"/>
        <v>Research plus</v>
      </c>
      <c r="C72" s="25" t="str">
        <f t="shared" si="5"/>
        <v>2,0 - 20µl</v>
      </c>
      <c r="D72" s="25" t="str">
        <f>"O23925G"</f>
        <v>O23925G</v>
      </c>
      <c r="E72" s="25" t="str">
        <f t="shared" si="0"/>
        <v>2022-12-18</v>
      </c>
      <c r="F72" s="67"/>
      <c r="G72" s="25"/>
      <c r="H72" s="25"/>
      <c r="I72" s="5"/>
      <c r="J72" s="5"/>
      <c r="K72" s="5"/>
    </row>
    <row r="73" spans="1:11" x14ac:dyDescent="0.2">
      <c r="A73" s="24">
        <v>65</v>
      </c>
      <c r="B73" s="33" t="str">
        <f t="shared" si="2"/>
        <v>Research plus</v>
      </c>
      <c r="C73" s="25" t="str">
        <f t="shared" si="5"/>
        <v>2,0 - 20µl</v>
      </c>
      <c r="D73" s="25" t="str">
        <f>"O24359G"</f>
        <v>O24359G</v>
      </c>
      <c r="E73" s="25" t="str">
        <f t="shared" si="0"/>
        <v>2022-12-18</v>
      </c>
      <c r="F73" s="67"/>
      <c r="G73" s="25"/>
      <c r="H73" s="25"/>
      <c r="I73" s="5"/>
      <c r="J73" s="5"/>
      <c r="K73" s="5"/>
    </row>
    <row r="74" spans="1:11" x14ac:dyDescent="0.2">
      <c r="A74" s="24">
        <v>66</v>
      </c>
      <c r="B74" s="33" t="str">
        <f t="shared" si="2"/>
        <v>Research plus</v>
      </c>
      <c r="C74" s="25" t="str">
        <f t="shared" si="5"/>
        <v>2,0 - 20µl</v>
      </c>
      <c r="D74" s="25" t="str">
        <f>"O24074G"</f>
        <v>O24074G</v>
      </c>
      <c r="E74" s="25" t="str">
        <f t="shared" ref="E74:E120" si="6">"2022-12-18"</f>
        <v>2022-12-18</v>
      </c>
      <c r="F74" s="67"/>
      <c r="G74" s="25"/>
      <c r="H74" s="25"/>
      <c r="I74" s="5"/>
      <c r="J74" s="5"/>
      <c r="K74" s="5"/>
    </row>
    <row r="75" spans="1:11" x14ac:dyDescent="0.2">
      <c r="A75" s="24">
        <v>67</v>
      </c>
      <c r="B75" s="33" t="str">
        <f t="shared" si="2"/>
        <v>Research plus</v>
      </c>
      <c r="C75" s="25" t="str">
        <f t="shared" si="5"/>
        <v>2,0 - 20µl</v>
      </c>
      <c r="D75" s="25" t="str">
        <f>"O24361G"</f>
        <v>O24361G</v>
      </c>
      <c r="E75" s="25" t="str">
        <f t="shared" si="6"/>
        <v>2022-12-18</v>
      </c>
      <c r="F75" s="67"/>
      <c r="G75" s="25"/>
      <c r="H75" s="25"/>
      <c r="I75" s="5"/>
      <c r="J75" s="5"/>
      <c r="K75" s="5"/>
    </row>
    <row r="76" spans="1:11" x14ac:dyDescent="0.2">
      <c r="A76" s="24">
        <v>68</v>
      </c>
      <c r="B76" s="33" t="str">
        <f t="shared" si="2"/>
        <v>Research plus</v>
      </c>
      <c r="C76" s="25" t="str">
        <f t="shared" si="5"/>
        <v>2,0 - 20µl</v>
      </c>
      <c r="D76" s="25" t="str">
        <f>"O24320G"</f>
        <v>O24320G</v>
      </c>
      <c r="E76" s="25" t="str">
        <f t="shared" si="6"/>
        <v>2022-12-18</v>
      </c>
      <c r="F76" s="67"/>
      <c r="G76" s="25"/>
      <c r="H76" s="25"/>
      <c r="I76" s="5"/>
      <c r="J76" s="5"/>
      <c r="K76" s="5"/>
    </row>
    <row r="77" spans="1:11" x14ac:dyDescent="0.2">
      <c r="A77" s="24">
        <v>69</v>
      </c>
      <c r="B77" s="33" t="str">
        <f t="shared" si="2"/>
        <v>Research plus</v>
      </c>
      <c r="C77" s="25" t="str">
        <f t="shared" si="5"/>
        <v>2,0 - 20µl</v>
      </c>
      <c r="D77" s="25" t="str">
        <f>"O24222G"</f>
        <v>O24222G</v>
      </c>
      <c r="E77" s="25" t="str">
        <f t="shared" si="6"/>
        <v>2022-12-18</v>
      </c>
      <c r="F77" s="67"/>
      <c r="G77" s="25"/>
      <c r="H77" s="25"/>
      <c r="I77" s="5"/>
      <c r="J77" s="5"/>
      <c r="K77" s="5"/>
    </row>
    <row r="78" spans="1:11" x14ac:dyDescent="0.2">
      <c r="A78" s="24">
        <v>70</v>
      </c>
      <c r="B78" s="33" t="str">
        <f t="shared" si="2"/>
        <v>Research plus</v>
      </c>
      <c r="C78" s="25" t="str">
        <f t="shared" ref="C78:C84" si="7">"10 - 100µl"</f>
        <v>10 - 100µl</v>
      </c>
      <c r="D78" s="25" t="str">
        <f>"N37094G"</f>
        <v>N37094G</v>
      </c>
      <c r="E78" s="25" t="str">
        <f t="shared" si="6"/>
        <v>2022-12-18</v>
      </c>
      <c r="F78" s="67"/>
      <c r="G78" s="25"/>
      <c r="H78" s="25"/>
      <c r="I78" s="5"/>
      <c r="J78" s="5"/>
      <c r="K78" s="5"/>
    </row>
    <row r="79" spans="1:11" x14ac:dyDescent="0.2">
      <c r="A79" s="24">
        <v>71</v>
      </c>
      <c r="B79" s="33" t="str">
        <f t="shared" si="2"/>
        <v>Research plus</v>
      </c>
      <c r="C79" s="25" t="str">
        <f t="shared" si="7"/>
        <v>10 - 100µl</v>
      </c>
      <c r="D79" s="25" t="str">
        <f>"N37087G"</f>
        <v>N37087G</v>
      </c>
      <c r="E79" s="25" t="str">
        <f t="shared" si="6"/>
        <v>2022-12-18</v>
      </c>
      <c r="F79" s="67"/>
      <c r="G79" s="25"/>
      <c r="H79" s="25"/>
      <c r="I79" s="5"/>
      <c r="J79" s="5"/>
      <c r="K79" s="5"/>
    </row>
    <row r="80" spans="1:11" x14ac:dyDescent="0.2">
      <c r="A80" s="24">
        <v>72</v>
      </c>
      <c r="B80" s="33" t="str">
        <f t="shared" si="2"/>
        <v>Research plus</v>
      </c>
      <c r="C80" s="25" t="str">
        <f t="shared" si="7"/>
        <v>10 - 100µl</v>
      </c>
      <c r="D80" s="25" t="str">
        <f>"N37042G"</f>
        <v>N37042G</v>
      </c>
      <c r="E80" s="25" t="str">
        <f t="shared" si="6"/>
        <v>2022-12-18</v>
      </c>
      <c r="F80" s="67"/>
      <c r="G80" s="25"/>
      <c r="H80" s="25"/>
      <c r="I80" s="5"/>
      <c r="J80" s="5"/>
      <c r="K80" s="5"/>
    </row>
    <row r="81" spans="1:11" x14ac:dyDescent="0.2">
      <c r="A81" s="24">
        <v>73</v>
      </c>
      <c r="B81" s="33" t="str">
        <f t="shared" si="2"/>
        <v>Research plus</v>
      </c>
      <c r="C81" s="25" t="str">
        <f t="shared" si="7"/>
        <v>10 - 100µl</v>
      </c>
      <c r="D81" s="25" t="str">
        <f>"N36966G"</f>
        <v>N36966G</v>
      </c>
      <c r="E81" s="25" t="str">
        <f t="shared" si="6"/>
        <v>2022-12-18</v>
      </c>
      <c r="F81" s="67"/>
      <c r="G81" s="25"/>
      <c r="H81" s="25"/>
      <c r="I81" s="5"/>
      <c r="J81" s="5"/>
      <c r="K81" s="5"/>
    </row>
    <row r="82" spans="1:11" x14ac:dyDescent="0.2">
      <c r="A82" s="24">
        <v>74</v>
      </c>
      <c r="B82" s="33" t="str">
        <f t="shared" si="2"/>
        <v>Research plus</v>
      </c>
      <c r="C82" s="25" t="str">
        <f t="shared" si="7"/>
        <v>10 - 100µl</v>
      </c>
      <c r="D82" s="25" t="str">
        <f>"N37036G"</f>
        <v>N37036G</v>
      </c>
      <c r="E82" s="25" t="str">
        <f t="shared" si="6"/>
        <v>2022-12-18</v>
      </c>
      <c r="F82" s="67"/>
      <c r="G82" s="25"/>
      <c r="H82" s="25"/>
      <c r="I82" s="5"/>
      <c r="J82" s="5"/>
      <c r="K82" s="5"/>
    </row>
    <row r="83" spans="1:11" x14ac:dyDescent="0.2">
      <c r="A83" s="24">
        <v>75</v>
      </c>
      <c r="B83" s="33" t="str">
        <f t="shared" si="2"/>
        <v>Research plus</v>
      </c>
      <c r="C83" s="25" t="str">
        <f t="shared" si="7"/>
        <v>10 - 100µl</v>
      </c>
      <c r="D83" s="25" t="str">
        <f>"N36961G"</f>
        <v>N36961G</v>
      </c>
      <c r="E83" s="25" t="str">
        <f t="shared" si="6"/>
        <v>2022-12-18</v>
      </c>
      <c r="F83" s="67"/>
      <c r="G83" s="25"/>
      <c r="H83" s="25"/>
      <c r="I83" s="5"/>
      <c r="J83" s="5"/>
      <c r="K83" s="5"/>
    </row>
    <row r="84" spans="1:11" x14ac:dyDescent="0.2">
      <c r="A84" s="24">
        <v>76</v>
      </c>
      <c r="B84" s="33" t="str">
        <f t="shared" si="2"/>
        <v>Research plus</v>
      </c>
      <c r="C84" s="25" t="str">
        <f t="shared" si="7"/>
        <v>10 - 100µl</v>
      </c>
      <c r="D84" s="25" t="str">
        <f>"N37093G"</f>
        <v>N37093G</v>
      </c>
      <c r="E84" s="25" t="str">
        <f t="shared" si="6"/>
        <v>2022-12-18</v>
      </c>
      <c r="F84" s="67"/>
      <c r="G84" s="25"/>
      <c r="H84" s="25"/>
      <c r="I84" s="5"/>
      <c r="J84" s="5"/>
      <c r="K84" s="5"/>
    </row>
    <row r="85" spans="1:11" x14ac:dyDescent="0.2">
      <c r="A85" s="24">
        <v>77</v>
      </c>
      <c r="B85" s="33" t="str">
        <f t="shared" si="2"/>
        <v>Research plus</v>
      </c>
      <c r="C85" s="25" t="str">
        <f t="shared" ref="C85:C96" si="8">"20 - 200µl"</f>
        <v>20 - 200µl</v>
      </c>
      <c r="D85" s="25" t="str">
        <f>"O22813G"</f>
        <v>O22813G</v>
      </c>
      <c r="E85" s="25" t="str">
        <f t="shared" si="6"/>
        <v>2022-12-18</v>
      </c>
      <c r="F85" s="67"/>
      <c r="G85" s="25"/>
      <c r="H85" s="25"/>
      <c r="I85" s="5"/>
      <c r="J85" s="5"/>
      <c r="K85" s="5"/>
    </row>
    <row r="86" spans="1:11" x14ac:dyDescent="0.2">
      <c r="A86" s="24">
        <v>78</v>
      </c>
      <c r="B86" s="33" t="str">
        <f t="shared" si="2"/>
        <v>Research plus</v>
      </c>
      <c r="C86" s="25" t="str">
        <f t="shared" si="8"/>
        <v>20 - 200µl</v>
      </c>
      <c r="D86" s="25" t="str">
        <f>"O22522G"</f>
        <v>O22522G</v>
      </c>
      <c r="E86" s="25" t="str">
        <f t="shared" si="6"/>
        <v>2022-12-18</v>
      </c>
      <c r="F86" s="67"/>
      <c r="G86" s="25"/>
      <c r="H86" s="25"/>
      <c r="I86" s="5"/>
      <c r="J86" s="5"/>
      <c r="K86" s="5"/>
    </row>
    <row r="87" spans="1:11" x14ac:dyDescent="0.2">
      <c r="A87" s="24">
        <v>79</v>
      </c>
      <c r="B87" s="33" t="str">
        <f t="shared" si="2"/>
        <v>Research plus</v>
      </c>
      <c r="C87" s="25" t="str">
        <f t="shared" si="8"/>
        <v>20 - 200µl</v>
      </c>
      <c r="D87" s="25" t="str">
        <f>"O22468G"</f>
        <v>O22468G</v>
      </c>
      <c r="E87" s="25" t="str">
        <f t="shared" si="6"/>
        <v>2022-12-18</v>
      </c>
      <c r="F87" s="67"/>
      <c r="G87" s="25"/>
      <c r="H87" s="25"/>
      <c r="I87" s="5"/>
      <c r="J87" s="5"/>
      <c r="K87" s="5"/>
    </row>
    <row r="88" spans="1:11" x14ac:dyDescent="0.2">
      <c r="A88" s="24">
        <v>80</v>
      </c>
      <c r="B88" s="33" t="str">
        <f t="shared" si="2"/>
        <v>Research plus</v>
      </c>
      <c r="C88" s="25" t="str">
        <f t="shared" si="8"/>
        <v>20 - 200µl</v>
      </c>
      <c r="D88" s="25" t="str">
        <f>"O22815G"</f>
        <v>O22815G</v>
      </c>
      <c r="E88" s="25" t="str">
        <f t="shared" si="6"/>
        <v>2022-12-18</v>
      </c>
      <c r="F88" s="67"/>
      <c r="G88" s="25"/>
      <c r="H88" s="25"/>
      <c r="I88" s="5"/>
      <c r="J88" s="5"/>
      <c r="K88" s="5"/>
    </row>
    <row r="89" spans="1:11" x14ac:dyDescent="0.2">
      <c r="A89" s="24">
        <v>81</v>
      </c>
      <c r="B89" s="33" t="str">
        <f t="shared" si="2"/>
        <v>Research plus</v>
      </c>
      <c r="C89" s="25" t="str">
        <f t="shared" si="8"/>
        <v>20 - 200µl</v>
      </c>
      <c r="D89" s="25" t="str">
        <f>"O22790G"</f>
        <v>O22790G</v>
      </c>
      <c r="E89" s="25" t="str">
        <f t="shared" si="6"/>
        <v>2022-12-18</v>
      </c>
      <c r="F89" s="67"/>
      <c r="G89" s="25"/>
      <c r="H89" s="25"/>
      <c r="I89" s="5"/>
      <c r="J89" s="5"/>
      <c r="K89" s="5"/>
    </row>
    <row r="90" spans="1:11" x14ac:dyDescent="0.2">
      <c r="A90" s="24">
        <v>82</v>
      </c>
      <c r="B90" s="33" t="str">
        <f t="shared" si="2"/>
        <v>Research plus</v>
      </c>
      <c r="C90" s="25" t="str">
        <f t="shared" si="8"/>
        <v>20 - 200µl</v>
      </c>
      <c r="D90" s="25" t="str">
        <f>"O22533G"</f>
        <v>O22533G</v>
      </c>
      <c r="E90" s="25" t="str">
        <f t="shared" si="6"/>
        <v>2022-12-18</v>
      </c>
      <c r="F90" s="67"/>
      <c r="G90" s="25"/>
      <c r="H90" s="25"/>
      <c r="I90" s="5"/>
      <c r="J90" s="5"/>
      <c r="K90" s="5"/>
    </row>
    <row r="91" spans="1:11" x14ac:dyDescent="0.2">
      <c r="A91" s="24">
        <v>83</v>
      </c>
      <c r="B91" s="33" t="str">
        <f t="shared" si="2"/>
        <v>Research plus</v>
      </c>
      <c r="C91" s="25" t="str">
        <f t="shared" si="8"/>
        <v>20 - 200µl</v>
      </c>
      <c r="D91" s="25" t="str">
        <f>"O22804G"</f>
        <v>O22804G</v>
      </c>
      <c r="E91" s="25" t="str">
        <f t="shared" si="6"/>
        <v>2022-12-18</v>
      </c>
      <c r="F91" s="67"/>
      <c r="G91" s="25"/>
      <c r="H91" s="25"/>
      <c r="I91" s="5"/>
      <c r="J91" s="5"/>
      <c r="K91" s="5"/>
    </row>
    <row r="92" spans="1:11" x14ac:dyDescent="0.2">
      <c r="A92" s="24">
        <v>84</v>
      </c>
      <c r="B92" s="33" t="str">
        <f t="shared" si="2"/>
        <v>Research plus</v>
      </c>
      <c r="C92" s="25" t="str">
        <f t="shared" si="8"/>
        <v>20 - 200µl</v>
      </c>
      <c r="D92" s="25" t="str">
        <f>"O22532G"</f>
        <v>O22532G</v>
      </c>
      <c r="E92" s="25" t="str">
        <f t="shared" si="6"/>
        <v>2022-12-18</v>
      </c>
      <c r="F92" s="67"/>
      <c r="G92" s="25"/>
      <c r="H92" s="25"/>
      <c r="I92" s="5"/>
      <c r="J92" s="5"/>
      <c r="K92" s="5"/>
    </row>
    <row r="93" spans="1:11" x14ac:dyDescent="0.2">
      <c r="A93" s="24">
        <v>85</v>
      </c>
      <c r="B93" s="33" t="str">
        <f t="shared" si="2"/>
        <v>Research plus</v>
      </c>
      <c r="C93" s="25" t="str">
        <f t="shared" si="8"/>
        <v>20 - 200µl</v>
      </c>
      <c r="D93" s="25" t="str">
        <f>"O22799G"</f>
        <v>O22799G</v>
      </c>
      <c r="E93" s="25" t="str">
        <f t="shared" si="6"/>
        <v>2022-12-18</v>
      </c>
      <c r="F93" s="67"/>
      <c r="G93" s="25"/>
      <c r="H93" s="25"/>
      <c r="I93" s="5"/>
      <c r="J93" s="5"/>
      <c r="K93" s="5"/>
    </row>
    <row r="94" spans="1:11" x14ac:dyDescent="0.2">
      <c r="A94" s="24">
        <v>86</v>
      </c>
      <c r="B94" s="33" t="str">
        <f t="shared" ref="B94:B113" si="9">"Research plus"</f>
        <v>Research plus</v>
      </c>
      <c r="C94" s="25" t="str">
        <f t="shared" si="8"/>
        <v>20 - 200µl</v>
      </c>
      <c r="D94" s="25" t="str">
        <f>"O22767G"</f>
        <v>O22767G</v>
      </c>
      <c r="E94" s="25" t="str">
        <f t="shared" si="6"/>
        <v>2022-12-18</v>
      </c>
      <c r="F94" s="67"/>
      <c r="G94" s="25"/>
      <c r="H94" s="25"/>
      <c r="I94" s="5"/>
      <c r="J94" s="5"/>
      <c r="K94" s="5"/>
    </row>
    <row r="95" spans="1:11" x14ac:dyDescent="0.2">
      <c r="A95" s="24">
        <v>87</v>
      </c>
      <c r="B95" s="33" t="str">
        <f t="shared" si="9"/>
        <v>Research plus</v>
      </c>
      <c r="C95" s="25" t="str">
        <f t="shared" si="8"/>
        <v>20 - 200µl</v>
      </c>
      <c r="D95" s="25" t="str">
        <f>"O22681G"</f>
        <v>O22681G</v>
      </c>
      <c r="E95" s="25" t="str">
        <f t="shared" si="6"/>
        <v>2022-12-18</v>
      </c>
      <c r="F95" s="67"/>
      <c r="G95" s="25"/>
      <c r="H95" s="25"/>
      <c r="I95" s="5"/>
      <c r="J95" s="5"/>
      <c r="K95" s="5"/>
    </row>
    <row r="96" spans="1:11" x14ac:dyDescent="0.2">
      <c r="A96" s="24">
        <v>88</v>
      </c>
      <c r="B96" s="33" t="str">
        <f t="shared" si="9"/>
        <v>Research plus</v>
      </c>
      <c r="C96" s="25" t="str">
        <f t="shared" si="8"/>
        <v>20 - 200µl</v>
      </c>
      <c r="D96" s="25" t="str">
        <f>"O22562G"</f>
        <v>O22562G</v>
      </c>
      <c r="E96" s="25" t="str">
        <f t="shared" si="6"/>
        <v>2022-12-18</v>
      </c>
      <c r="F96" s="67"/>
      <c r="G96" s="25"/>
      <c r="H96" s="25"/>
      <c r="I96" s="5"/>
      <c r="J96" s="5"/>
      <c r="K96" s="5"/>
    </row>
    <row r="97" spans="1:11" x14ac:dyDescent="0.2">
      <c r="A97" s="24">
        <v>89</v>
      </c>
      <c r="B97" s="33" t="str">
        <f t="shared" si="9"/>
        <v>Research plus</v>
      </c>
      <c r="C97" s="25" t="str">
        <f t="shared" ref="C97:C108" si="10">"100 - 1000µl"</f>
        <v>100 - 1000µl</v>
      </c>
      <c r="D97" s="25" t="str">
        <f>"N14078G"</f>
        <v>N14078G</v>
      </c>
      <c r="E97" s="25" t="str">
        <f t="shared" si="6"/>
        <v>2022-12-18</v>
      </c>
      <c r="F97" s="67"/>
      <c r="G97" s="25"/>
      <c r="H97" s="25"/>
      <c r="I97" s="5"/>
      <c r="J97" s="5"/>
      <c r="K97" s="5"/>
    </row>
    <row r="98" spans="1:11" x14ac:dyDescent="0.2">
      <c r="A98" s="24">
        <v>90</v>
      </c>
      <c r="B98" s="33" t="str">
        <f t="shared" si="9"/>
        <v>Research plus</v>
      </c>
      <c r="C98" s="25" t="str">
        <f t="shared" si="10"/>
        <v>100 - 1000µl</v>
      </c>
      <c r="D98" s="25" t="str">
        <f>"N13954G"</f>
        <v>N13954G</v>
      </c>
      <c r="E98" s="25" t="str">
        <f t="shared" si="6"/>
        <v>2022-12-18</v>
      </c>
      <c r="F98" s="67"/>
      <c r="G98" s="25"/>
      <c r="H98" s="25"/>
      <c r="I98" s="5"/>
      <c r="J98" s="5"/>
      <c r="K98" s="5"/>
    </row>
    <row r="99" spans="1:11" x14ac:dyDescent="0.2">
      <c r="A99" s="24">
        <v>91</v>
      </c>
      <c r="B99" s="33" t="str">
        <f t="shared" si="9"/>
        <v>Research plus</v>
      </c>
      <c r="C99" s="25" t="str">
        <f t="shared" si="10"/>
        <v>100 - 1000µl</v>
      </c>
      <c r="D99" s="25" t="str">
        <f>"N14389G"</f>
        <v>N14389G</v>
      </c>
      <c r="E99" s="25" t="str">
        <f t="shared" si="6"/>
        <v>2022-12-18</v>
      </c>
      <c r="F99" s="67"/>
      <c r="G99" s="25"/>
      <c r="H99" s="25"/>
      <c r="I99" s="5"/>
      <c r="J99" s="5"/>
      <c r="K99" s="5"/>
    </row>
    <row r="100" spans="1:11" x14ac:dyDescent="0.2">
      <c r="A100" s="24">
        <v>92</v>
      </c>
      <c r="B100" s="33" t="str">
        <f t="shared" si="9"/>
        <v>Research plus</v>
      </c>
      <c r="C100" s="25" t="str">
        <f t="shared" si="10"/>
        <v>100 - 1000µl</v>
      </c>
      <c r="D100" s="25" t="str">
        <f>"N13915G"</f>
        <v>N13915G</v>
      </c>
      <c r="E100" s="25" t="str">
        <f t="shared" si="6"/>
        <v>2022-12-18</v>
      </c>
      <c r="F100" s="67"/>
      <c r="G100" s="25"/>
      <c r="H100" s="25"/>
      <c r="I100" s="5"/>
      <c r="J100" s="5"/>
      <c r="K100" s="5"/>
    </row>
    <row r="101" spans="1:11" x14ac:dyDescent="0.2">
      <c r="A101" s="24">
        <v>93</v>
      </c>
      <c r="B101" s="33" t="str">
        <f t="shared" si="9"/>
        <v>Research plus</v>
      </c>
      <c r="C101" s="25" t="str">
        <f t="shared" si="10"/>
        <v>100 - 1000µl</v>
      </c>
      <c r="D101" s="25" t="str">
        <f>"N13917G"</f>
        <v>N13917G</v>
      </c>
      <c r="E101" s="25" t="str">
        <f t="shared" si="6"/>
        <v>2022-12-18</v>
      </c>
      <c r="F101" s="67"/>
      <c r="G101" s="25"/>
      <c r="H101" s="25"/>
      <c r="I101" s="5"/>
      <c r="J101" s="5"/>
      <c r="K101" s="5"/>
    </row>
    <row r="102" spans="1:11" x14ac:dyDescent="0.2">
      <c r="A102" s="24">
        <v>94</v>
      </c>
      <c r="B102" s="33" t="str">
        <f t="shared" si="9"/>
        <v>Research plus</v>
      </c>
      <c r="C102" s="25" t="str">
        <f t="shared" si="10"/>
        <v>100 - 1000µl</v>
      </c>
      <c r="D102" s="25" t="str">
        <f>"N13914G"</f>
        <v>N13914G</v>
      </c>
      <c r="E102" s="25" t="str">
        <f t="shared" si="6"/>
        <v>2022-12-18</v>
      </c>
      <c r="F102" s="67"/>
      <c r="G102" s="25"/>
      <c r="H102" s="25"/>
      <c r="I102" s="5"/>
      <c r="J102" s="5"/>
      <c r="K102" s="5"/>
    </row>
    <row r="103" spans="1:11" x14ac:dyDescent="0.2">
      <c r="A103" s="24">
        <v>95</v>
      </c>
      <c r="B103" s="33" t="str">
        <f t="shared" si="9"/>
        <v>Research plus</v>
      </c>
      <c r="C103" s="25" t="str">
        <f t="shared" si="10"/>
        <v>100 - 1000µl</v>
      </c>
      <c r="D103" s="25" t="str">
        <f>"N14049G"</f>
        <v>N14049G</v>
      </c>
      <c r="E103" s="25" t="str">
        <f t="shared" si="6"/>
        <v>2022-12-18</v>
      </c>
      <c r="F103" s="67"/>
      <c r="G103" s="25"/>
      <c r="H103" s="25"/>
      <c r="I103" s="5"/>
      <c r="J103" s="5"/>
      <c r="K103" s="5"/>
    </row>
    <row r="104" spans="1:11" x14ac:dyDescent="0.2">
      <c r="A104" s="24">
        <v>96</v>
      </c>
      <c r="B104" s="33" t="str">
        <f t="shared" si="9"/>
        <v>Research plus</v>
      </c>
      <c r="C104" s="25" t="str">
        <f t="shared" si="10"/>
        <v>100 - 1000µl</v>
      </c>
      <c r="D104" s="25" t="str">
        <f>"N13911G"</f>
        <v>N13911G</v>
      </c>
      <c r="E104" s="25" t="str">
        <f t="shared" si="6"/>
        <v>2022-12-18</v>
      </c>
      <c r="F104" s="67"/>
      <c r="G104" s="25"/>
      <c r="H104" s="25"/>
      <c r="I104" s="5"/>
      <c r="J104" s="5"/>
      <c r="K104" s="5"/>
    </row>
    <row r="105" spans="1:11" x14ac:dyDescent="0.2">
      <c r="A105" s="24">
        <v>97</v>
      </c>
      <c r="B105" s="33" t="str">
        <f t="shared" si="9"/>
        <v>Research plus</v>
      </c>
      <c r="C105" s="25" t="str">
        <f t="shared" si="10"/>
        <v>100 - 1000µl</v>
      </c>
      <c r="D105" s="25" t="str">
        <f>"N14341G"</f>
        <v>N14341G</v>
      </c>
      <c r="E105" s="25" t="str">
        <f t="shared" si="6"/>
        <v>2022-12-18</v>
      </c>
      <c r="F105" s="67"/>
      <c r="G105" s="25"/>
      <c r="H105" s="25"/>
      <c r="I105" s="5"/>
      <c r="J105" s="5"/>
      <c r="K105" s="5"/>
    </row>
    <row r="106" spans="1:11" x14ac:dyDescent="0.2">
      <c r="A106" s="24">
        <v>98</v>
      </c>
      <c r="B106" s="33" t="str">
        <f t="shared" si="9"/>
        <v>Research plus</v>
      </c>
      <c r="C106" s="25" t="str">
        <f t="shared" si="10"/>
        <v>100 - 1000µl</v>
      </c>
      <c r="D106" s="25" t="str">
        <f>"N13964G"</f>
        <v>N13964G</v>
      </c>
      <c r="E106" s="25" t="str">
        <f t="shared" si="6"/>
        <v>2022-12-18</v>
      </c>
      <c r="F106" s="67"/>
      <c r="G106" s="25"/>
      <c r="H106" s="25"/>
      <c r="I106" s="5"/>
      <c r="J106" s="5"/>
      <c r="K106" s="5"/>
    </row>
    <row r="107" spans="1:11" x14ac:dyDescent="0.2">
      <c r="A107" s="24">
        <v>99</v>
      </c>
      <c r="B107" s="33" t="str">
        <f t="shared" si="9"/>
        <v>Research plus</v>
      </c>
      <c r="C107" s="25" t="str">
        <f t="shared" si="10"/>
        <v>100 - 1000µl</v>
      </c>
      <c r="D107" s="25" t="str">
        <f>"N14387G"</f>
        <v>N14387G</v>
      </c>
      <c r="E107" s="25" t="str">
        <f t="shared" si="6"/>
        <v>2022-12-18</v>
      </c>
      <c r="F107" s="67"/>
      <c r="G107" s="25"/>
      <c r="H107" s="25"/>
      <c r="I107" s="5"/>
      <c r="J107" s="5"/>
      <c r="K107" s="5"/>
    </row>
    <row r="108" spans="1:11" x14ac:dyDescent="0.2">
      <c r="A108" s="24">
        <v>100</v>
      </c>
      <c r="B108" s="33" t="str">
        <f t="shared" si="9"/>
        <v>Research plus</v>
      </c>
      <c r="C108" s="25" t="str">
        <f t="shared" si="10"/>
        <v>100 - 1000µl</v>
      </c>
      <c r="D108" s="25" t="str">
        <f>"N13919G"</f>
        <v>N13919G</v>
      </c>
      <c r="E108" s="25" t="str">
        <f t="shared" si="6"/>
        <v>2022-12-18</v>
      </c>
      <c r="F108" s="67"/>
      <c r="G108" s="25"/>
      <c r="H108" s="25"/>
      <c r="I108" s="5"/>
      <c r="J108" s="5"/>
      <c r="K108" s="5"/>
    </row>
    <row r="109" spans="1:11" x14ac:dyDescent="0.2">
      <c r="A109" s="24">
        <v>101</v>
      </c>
      <c r="B109" s="33" t="str">
        <f t="shared" si="9"/>
        <v>Research plus</v>
      </c>
      <c r="C109" s="25" t="str">
        <f>"500 - 5000µl"</f>
        <v>500 - 5000µl</v>
      </c>
      <c r="D109" s="25" t="str">
        <f>"O49744G"</f>
        <v>O49744G</v>
      </c>
      <c r="E109" s="25" t="str">
        <f t="shared" si="6"/>
        <v>2022-12-18</v>
      </c>
      <c r="F109" s="67"/>
      <c r="G109" s="25"/>
      <c r="H109" s="25"/>
      <c r="I109" s="5"/>
      <c r="J109" s="5"/>
      <c r="K109" s="5"/>
    </row>
    <row r="110" spans="1:11" x14ac:dyDescent="0.2">
      <c r="A110" s="24">
        <v>102</v>
      </c>
      <c r="B110" s="33" t="str">
        <f t="shared" si="9"/>
        <v>Research plus</v>
      </c>
      <c r="C110" s="25" t="str">
        <f>"500 - 5000µl"</f>
        <v>500 - 5000µl</v>
      </c>
      <c r="D110" s="25" t="str">
        <f>"O49742G"</f>
        <v>O49742G</v>
      </c>
      <c r="E110" s="25" t="str">
        <f t="shared" si="6"/>
        <v>2022-12-18</v>
      </c>
      <c r="F110" s="67"/>
      <c r="G110" s="25"/>
      <c r="H110" s="25"/>
      <c r="I110" s="5"/>
      <c r="J110" s="5"/>
      <c r="K110" s="5"/>
    </row>
    <row r="111" spans="1:11" x14ac:dyDescent="0.2">
      <c r="A111" s="24">
        <v>103</v>
      </c>
      <c r="B111" s="33" t="str">
        <f t="shared" si="9"/>
        <v>Research plus</v>
      </c>
      <c r="C111" s="25" t="str">
        <f>"500 - 5000µl"</f>
        <v>500 - 5000µl</v>
      </c>
      <c r="D111" s="25" t="str">
        <f>"O49741G"</f>
        <v>O49741G</v>
      </c>
      <c r="E111" s="25" t="str">
        <f t="shared" si="6"/>
        <v>2022-12-18</v>
      </c>
      <c r="F111" s="67"/>
      <c r="G111" s="25"/>
      <c r="H111" s="25"/>
      <c r="I111" s="5"/>
      <c r="J111" s="5"/>
      <c r="K111" s="5"/>
    </row>
    <row r="112" spans="1:11" x14ac:dyDescent="0.2">
      <c r="A112" s="24">
        <v>104</v>
      </c>
      <c r="B112" s="33" t="str">
        <f t="shared" si="9"/>
        <v>Research plus</v>
      </c>
      <c r="C112" s="25" t="str">
        <f>"500 - 5000µl"</f>
        <v>500 - 5000µl</v>
      </c>
      <c r="D112" s="25" t="str">
        <f>"O49747G"</f>
        <v>O49747G</v>
      </c>
      <c r="E112" s="25" t="str">
        <f t="shared" si="6"/>
        <v>2022-12-18</v>
      </c>
      <c r="F112" s="67"/>
      <c r="G112" s="25"/>
      <c r="H112" s="25"/>
      <c r="I112" s="5"/>
      <c r="J112" s="5"/>
      <c r="K112" s="5"/>
    </row>
    <row r="113" spans="1:11" x14ac:dyDescent="0.2">
      <c r="A113" s="24">
        <v>105</v>
      </c>
      <c r="B113" s="33" t="str">
        <f t="shared" si="9"/>
        <v>Research plus</v>
      </c>
      <c r="C113" s="25" t="str">
        <f>"500 - 5000µl"</f>
        <v>500 - 5000µl</v>
      </c>
      <c r="D113" s="25" t="str">
        <f>"O49746G"</f>
        <v>O49746G</v>
      </c>
      <c r="E113" s="25" t="str">
        <f t="shared" si="6"/>
        <v>2022-12-18</v>
      </c>
      <c r="F113" s="67"/>
      <c r="G113" s="25"/>
      <c r="H113" s="25"/>
      <c r="I113" s="5"/>
      <c r="J113" s="5"/>
      <c r="K113" s="5"/>
    </row>
    <row r="114" spans="1:11" x14ac:dyDescent="0.2">
      <c r="A114" s="24">
        <v>106</v>
      </c>
      <c r="B114" s="33" t="str">
        <f>"Research plus Multi"</f>
        <v>Research plus Multi</v>
      </c>
      <c r="C114" s="25" t="str">
        <f>"10 - 100µl "</f>
        <v xml:space="preserve">10 - 100µl </v>
      </c>
      <c r="D114" s="25" t="str">
        <f>"3813184"</f>
        <v>3813184</v>
      </c>
      <c r="E114" s="25" t="str">
        <f t="shared" si="6"/>
        <v>2022-12-18</v>
      </c>
      <c r="F114" s="67"/>
      <c r="G114" s="25"/>
      <c r="H114" s="25"/>
      <c r="I114" s="5"/>
      <c r="J114" s="5"/>
      <c r="K114" s="5"/>
    </row>
    <row r="115" spans="1:11" x14ac:dyDescent="0.2">
      <c r="A115" s="24">
        <v>107</v>
      </c>
      <c r="B115" s="33" t="str">
        <f>"Research plus Multi"</f>
        <v>Research plus Multi</v>
      </c>
      <c r="C115" s="25" t="str">
        <f>"30 - 300µl "</f>
        <v xml:space="preserve">30 - 300µl </v>
      </c>
      <c r="D115" s="25" t="str">
        <f>"2104905"</f>
        <v>2104905</v>
      </c>
      <c r="E115" s="25" t="str">
        <f t="shared" si="6"/>
        <v>2022-12-18</v>
      </c>
      <c r="F115" s="67"/>
      <c r="G115" s="25"/>
      <c r="H115" s="25"/>
      <c r="I115" s="5"/>
      <c r="J115" s="5"/>
      <c r="K115" s="5"/>
    </row>
    <row r="116" spans="1:11" x14ac:dyDescent="0.2">
      <c r="A116" s="24">
        <v>108</v>
      </c>
      <c r="B116" s="33" t="str">
        <f>"Research plus Multi"</f>
        <v>Research plus Multi</v>
      </c>
      <c r="C116" s="25"/>
      <c r="D116" s="25" t="str">
        <f>"L42976G"</f>
        <v>L42976G</v>
      </c>
      <c r="E116" s="25" t="str">
        <f t="shared" si="6"/>
        <v>2022-12-18</v>
      </c>
      <c r="F116" s="67"/>
      <c r="G116" s="25"/>
      <c r="H116" s="25"/>
      <c r="I116" s="5"/>
      <c r="J116" s="5"/>
      <c r="K116" s="5"/>
    </row>
    <row r="117" spans="1:11" x14ac:dyDescent="0.2">
      <c r="A117" s="24">
        <v>109</v>
      </c>
      <c r="B117" s="33" t="str">
        <f>"Research plus Multi"</f>
        <v>Research plus Multi</v>
      </c>
      <c r="C117" s="25"/>
      <c r="D117" s="25" t="str">
        <f>"N45036G"</f>
        <v>N45036G</v>
      </c>
      <c r="E117" s="25" t="str">
        <f t="shared" si="6"/>
        <v>2022-12-18</v>
      </c>
      <c r="F117" s="67"/>
      <c r="G117" s="25"/>
      <c r="H117" s="25"/>
      <c r="I117" s="5"/>
      <c r="J117" s="5"/>
      <c r="K117" s="5"/>
    </row>
    <row r="118" spans="1:11" x14ac:dyDescent="0.2">
      <c r="A118" s="24">
        <v>110</v>
      </c>
      <c r="B118" s="33" t="str">
        <f>"eLINE"</f>
        <v>eLINE</v>
      </c>
      <c r="C118" s="25"/>
      <c r="D118" s="25" t="str">
        <f>"14009438"</f>
        <v>14009438</v>
      </c>
      <c r="E118" s="25" t="str">
        <f t="shared" si="6"/>
        <v>2022-12-18</v>
      </c>
      <c r="F118" s="67"/>
      <c r="G118" s="25"/>
      <c r="H118" s="25"/>
      <c r="I118" s="5"/>
      <c r="J118" s="5"/>
      <c r="K118" s="5"/>
    </row>
    <row r="119" spans="1:11" x14ac:dyDescent="0.2">
      <c r="A119" s="24">
        <v>111</v>
      </c>
      <c r="B119" s="33" t="s">
        <v>65</v>
      </c>
      <c r="C119" s="25"/>
      <c r="D119" s="25" t="s">
        <v>66</v>
      </c>
      <c r="E119" s="25" t="str">
        <f t="shared" si="6"/>
        <v>2022-12-18</v>
      </c>
      <c r="F119" s="67"/>
      <c r="G119" s="25"/>
      <c r="H119" s="25"/>
      <c r="I119" s="5"/>
      <c r="J119" s="5"/>
      <c r="K119" s="5"/>
    </row>
    <row r="120" spans="1:11" x14ac:dyDescent="0.2">
      <c r="A120" s="24">
        <v>112</v>
      </c>
      <c r="B120" s="33" t="s">
        <v>65</v>
      </c>
      <c r="C120" s="25"/>
      <c r="D120" s="25" t="s">
        <v>67</v>
      </c>
      <c r="E120" s="25" t="str">
        <f t="shared" si="6"/>
        <v>2022-12-18</v>
      </c>
      <c r="F120" s="67"/>
      <c r="G120" s="25"/>
      <c r="H120" s="25"/>
      <c r="I120" s="5"/>
      <c r="J120" s="5"/>
      <c r="K120" s="5"/>
    </row>
    <row r="121" spans="1:11" ht="75.75" customHeight="1" x14ac:dyDescent="0.2">
      <c r="A121" s="27"/>
      <c r="B121" s="167" t="s">
        <v>52</v>
      </c>
      <c r="C121" s="168"/>
      <c r="D121" s="168"/>
      <c r="E121" s="168"/>
      <c r="F121" s="169"/>
      <c r="G121" s="31" t="s">
        <v>338</v>
      </c>
      <c r="H121" s="28"/>
      <c r="I121" s="5"/>
      <c r="J121" s="5"/>
      <c r="K121" s="5"/>
    </row>
    <row r="122" spans="1:11" ht="45" customHeight="1" x14ac:dyDescent="0.2">
      <c r="A122" s="27"/>
      <c r="B122" s="162" t="s">
        <v>170</v>
      </c>
      <c r="C122" s="162"/>
      <c r="D122" s="162"/>
      <c r="E122" s="162"/>
      <c r="F122" s="162"/>
      <c r="G122" s="25" t="s">
        <v>338</v>
      </c>
      <c r="H122" s="28"/>
      <c r="I122" s="5"/>
      <c r="J122" s="5"/>
      <c r="K122" s="5"/>
    </row>
    <row r="123" spans="1:11" x14ac:dyDescent="0.2">
      <c r="B123" s="3"/>
      <c r="C123" s="26"/>
      <c r="D123" s="26"/>
      <c r="E123" s="5"/>
      <c r="F123" s="5"/>
      <c r="G123" s="5"/>
      <c r="H123" s="5"/>
      <c r="I123" s="5"/>
      <c r="J123" s="5"/>
      <c r="K123" s="5"/>
    </row>
    <row r="124" spans="1:11" x14ac:dyDescent="0.2">
      <c r="A124" s="150" t="s">
        <v>192</v>
      </c>
      <c r="B124" s="151"/>
      <c r="C124" s="152"/>
      <c r="D124" s="153"/>
      <c r="E124" s="154"/>
      <c r="F124" s="155" t="s">
        <v>178</v>
      </c>
      <c r="G124" s="156"/>
      <c r="H124" s="157"/>
      <c r="I124" s="152"/>
      <c r="J124" s="153"/>
      <c r="K124" s="158"/>
    </row>
  </sheetData>
  <customSheetViews>
    <customSheetView guid="{D0B43696-C677-428B-89B5-FA762F48CCFE}" showPageBreaks="1" view="pageBreakPreview" topLeftCell="A91">
      <selection activeCell="H118" sqref="H118:H120"/>
      <pageMargins left="0.75" right="0.75" top="1" bottom="1" header="0.5" footer="0.5"/>
      <pageSetup paperSize="9" scale="58" orientation="portrait" r:id="rId1"/>
      <headerFooter alignWithMargins="0"/>
    </customSheetView>
    <customSheetView guid="{1A0A59C7-6CA7-4317-90A9-40DF16B65ADD}" showPageBreaks="1" view="pageBreakPreview" topLeftCell="A115">
      <selection activeCell="H123" sqref="H123"/>
      <pageMargins left="0.75" right="0.75" top="1" bottom="1" header="0.5" footer="0.5"/>
      <pageSetup paperSize="9" scale="58" orientation="portrait" r:id="rId2"/>
      <headerFooter alignWithMargins="0"/>
    </customSheetView>
  </customSheetViews>
  <mergeCells count="9">
    <mergeCell ref="A4:B4"/>
    <mergeCell ref="C4:K4"/>
    <mergeCell ref="B6:K6"/>
    <mergeCell ref="B121:F121"/>
    <mergeCell ref="I124:K124"/>
    <mergeCell ref="B122:F122"/>
    <mergeCell ref="A124:B124"/>
    <mergeCell ref="C124:E124"/>
    <mergeCell ref="F124:H124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8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  <rowBreaks count="1" manualBreakCount="1">
    <brk id="58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Arkusz59"/>
  <dimension ref="A2:K13"/>
  <sheetViews>
    <sheetView view="pageBreakPreview" zoomScaleNormal="100" workbookViewId="0">
      <selection activeCell="C13" sqref="C13:E13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58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290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24">
        <v>1</v>
      </c>
      <c r="B9" s="42" t="s">
        <v>291</v>
      </c>
      <c r="C9" s="25">
        <v>2500112</v>
      </c>
      <c r="D9" s="25">
        <v>2017</v>
      </c>
      <c r="E9" s="41">
        <v>44853</v>
      </c>
      <c r="F9" s="25"/>
      <c r="G9" s="25"/>
      <c r="H9" s="25"/>
      <c r="I9" s="5"/>
      <c r="J9" s="5"/>
      <c r="K9" s="5"/>
    </row>
    <row r="10" spans="1:11" ht="73.5" customHeight="1" x14ac:dyDescent="0.2">
      <c r="A10" s="27"/>
      <c r="B10" s="159" t="s">
        <v>173</v>
      </c>
      <c r="C10" s="159"/>
      <c r="D10" s="159"/>
      <c r="E10" s="159"/>
      <c r="F10" s="159"/>
      <c r="G10" s="31" t="s">
        <v>338</v>
      </c>
      <c r="H10" s="28"/>
      <c r="I10" s="5"/>
      <c r="J10" s="5"/>
      <c r="K10" s="5"/>
    </row>
    <row r="11" spans="1:11" ht="74.25" customHeight="1" x14ac:dyDescent="0.2">
      <c r="A11" s="27"/>
      <c r="B11" s="159" t="s">
        <v>295</v>
      </c>
      <c r="C11" s="159"/>
      <c r="D11" s="159"/>
      <c r="E11" s="159"/>
      <c r="F11" s="159"/>
      <c r="G11" s="25" t="s">
        <v>338</v>
      </c>
      <c r="H11" s="28"/>
      <c r="I11" s="5"/>
      <c r="J11" s="5"/>
      <c r="K11" s="5"/>
    </row>
    <row r="12" spans="1:11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</sheetData>
  <customSheetViews>
    <customSheetView guid="{D0B43696-C677-428B-89B5-FA762F48CCFE}" showPageBreaks="1" view="pageBreakPreview">
      <selection activeCell="C2" sqref="C2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C2" sqref="C2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Arkusz60"/>
  <dimension ref="A2:K13"/>
  <sheetViews>
    <sheetView view="pageBreakPreview" zoomScaleNormal="100" workbookViewId="0">
      <selection activeCell="B10" sqref="B10:F10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59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292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24">
        <v>1</v>
      </c>
      <c r="B9" s="42" t="s">
        <v>293</v>
      </c>
      <c r="C9" s="25" t="s">
        <v>294</v>
      </c>
      <c r="D9" s="25">
        <v>2017</v>
      </c>
      <c r="E9" s="41">
        <v>44846</v>
      </c>
      <c r="F9" s="25"/>
      <c r="G9" s="25"/>
      <c r="H9" s="25"/>
      <c r="I9" s="5"/>
      <c r="J9" s="5"/>
      <c r="K9" s="5"/>
    </row>
    <row r="10" spans="1:11" ht="109.5" customHeight="1" x14ac:dyDescent="0.2">
      <c r="A10" s="27"/>
      <c r="B10" s="162" t="s">
        <v>395</v>
      </c>
      <c r="C10" s="162"/>
      <c r="D10" s="162"/>
      <c r="E10" s="162"/>
      <c r="F10" s="162"/>
      <c r="G10" s="31" t="s">
        <v>338</v>
      </c>
      <c r="H10" s="28"/>
      <c r="I10" s="5"/>
      <c r="J10" s="5"/>
      <c r="K10" s="5"/>
    </row>
    <row r="11" spans="1:11" ht="57.75" customHeight="1" x14ac:dyDescent="0.2">
      <c r="A11" s="27"/>
      <c r="B11" s="162" t="s">
        <v>417</v>
      </c>
      <c r="C11" s="162"/>
      <c r="D11" s="162"/>
      <c r="E11" s="162"/>
      <c r="F11" s="162"/>
      <c r="G11" s="25" t="s">
        <v>338</v>
      </c>
      <c r="H11" s="28"/>
      <c r="I11" s="5"/>
      <c r="J11" s="5"/>
      <c r="K11" s="5"/>
    </row>
    <row r="12" spans="1:11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</sheetData>
  <customSheetViews>
    <customSheetView guid="{D0B43696-C677-428B-89B5-FA762F48CCFE}" showPageBreaks="1" view="pageBreakPreview">
      <selection activeCell="I43" sqref="I43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I43" sqref="I43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Arkusz61"/>
  <dimension ref="A2:K13"/>
  <sheetViews>
    <sheetView view="pageBreakPreview" zoomScaleNormal="100" workbookViewId="0">
      <selection activeCell="C13" sqref="C13:E13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60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296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24">
        <v>1</v>
      </c>
      <c r="B9" s="42" t="s">
        <v>297</v>
      </c>
      <c r="C9" s="25">
        <v>261</v>
      </c>
      <c r="D9" s="25">
        <v>2017</v>
      </c>
      <c r="E9" s="41">
        <v>44983</v>
      </c>
      <c r="F9" s="25"/>
      <c r="G9" s="25"/>
      <c r="H9" s="25"/>
      <c r="I9" s="5"/>
      <c r="J9" s="5"/>
      <c r="K9" s="5"/>
    </row>
    <row r="10" spans="1:11" ht="111" customHeight="1" x14ac:dyDescent="0.2">
      <c r="A10" s="27"/>
      <c r="B10" s="162" t="s">
        <v>395</v>
      </c>
      <c r="C10" s="162"/>
      <c r="D10" s="162"/>
      <c r="E10" s="162"/>
      <c r="F10" s="162"/>
      <c r="G10" s="31" t="s">
        <v>338</v>
      </c>
      <c r="H10" s="28"/>
      <c r="I10" s="5"/>
      <c r="J10" s="5"/>
      <c r="K10" s="5"/>
    </row>
    <row r="11" spans="1:11" ht="55.5" customHeight="1" x14ac:dyDescent="0.2">
      <c r="A11" s="27"/>
      <c r="B11" s="162" t="s">
        <v>417</v>
      </c>
      <c r="C11" s="162"/>
      <c r="D11" s="162"/>
      <c r="E11" s="162"/>
      <c r="F11" s="162"/>
      <c r="G11" s="25" t="s">
        <v>338</v>
      </c>
      <c r="H11" s="28"/>
      <c r="I11" s="5"/>
      <c r="J11" s="5"/>
      <c r="K11" s="5"/>
    </row>
    <row r="12" spans="1:11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</sheetData>
  <customSheetViews>
    <customSheetView guid="{D0B43696-C677-428B-89B5-FA762F48CCFE}" showPageBreaks="1" view="pageBreakPreview">
      <selection activeCell="H11" sqref="H11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H11" sqref="H11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Arkusz62"/>
  <dimension ref="A2:K13"/>
  <sheetViews>
    <sheetView view="pageBreakPreview" zoomScaleNormal="100" workbookViewId="0">
      <selection activeCell="C13" sqref="C13:E13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61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298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24">
        <v>1</v>
      </c>
      <c r="B9" s="42" t="s">
        <v>299</v>
      </c>
      <c r="C9" s="25" t="s">
        <v>300</v>
      </c>
      <c r="D9" s="25">
        <v>2017</v>
      </c>
      <c r="E9" s="41">
        <v>44905</v>
      </c>
      <c r="F9" s="25"/>
      <c r="G9" s="25"/>
      <c r="H9" s="25"/>
      <c r="I9" s="5"/>
      <c r="J9" s="5"/>
      <c r="K9" s="5"/>
    </row>
    <row r="10" spans="1:11" ht="108.75" customHeight="1" x14ac:dyDescent="0.2">
      <c r="A10" s="27"/>
      <c r="B10" s="162" t="s">
        <v>395</v>
      </c>
      <c r="C10" s="162"/>
      <c r="D10" s="162"/>
      <c r="E10" s="162"/>
      <c r="F10" s="162"/>
      <c r="G10" s="31" t="s">
        <v>338</v>
      </c>
      <c r="H10" s="28"/>
      <c r="I10" s="5"/>
      <c r="J10" s="5"/>
      <c r="K10" s="5"/>
    </row>
    <row r="11" spans="1:11" ht="60" customHeight="1" x14ac:dyDescent="0.2">
      <c r="A11" s="27"/>
      <c r="B11" s="162" t="s">
        <v>417</v>
      </c>
      <c r="C11" s="162"/>
      <c r="D11" s="162"/>
      <c r="E11" s="162"/>
      <c r="F11" s="162"/>
      <c r="G11" s="25" t="s">
        <v>338</v>
      </c>
      <c r="H11" s="28"/>
      <c r="I11" s="5"/>
      <c r="J11" s="5"/>
      <c r="K11" s="5"/>
    </row>
    <row r="12" spans="1:11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">
      <c r="A13" s="150" t="s">
        <v>192</v>
      </c>
      <c r="B13" s="151"/>
      <c r="C13" s="191"/>
      <c r="D13" s="192"/>
      <c r="E13" s="193"/>
      <c r="F13" s="155" t="s">
        <v>178</v>
      </c>
      <c r="G13" s="156"/>
      <c r="H13" s="157"/>
      <c r="I13" s="152"/>
      <c r="J13" s="153"/>
      <c r="K13" s="158"/>
    </row>
  </sheetData>
  <customSheetViews>
    <customSheetView guid="{D0B43696-C677-428B-89B5-FA762F48CCFE}" showPageBreaks="1" view="pageBreakPreview">
      <selection activeCell="B11" sqref="B11:F11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B11" sqref="B11:F11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Arkusz63"/>
  <dimension ref="A2:K13"/>
  <sheetViews>
    <sheetView view="pageBreakPreview" zoomScaleNormal="100" workbookViewId="0">
      <selection activeCell="C13" sqref="C13:E13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62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301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24">
        <v>1</v>
      </c>
      <c r="B9" s="42" t="s">
        <v>302</v>
      </c>
      <c r="C9" s="25" t="s">
        <v>303</v>
      </c>
      <c r="D9" s="25">
        <v>2017</v>
      </c>
      <c r="E9" s="41">
        <v>44990</v>
      </c>
      <c r="F9" s="25"/>
      <c r="G9" s="25"/>
      <c r="H9" s="25"/>
      <c r="I9" s="5"/>
      <c r="J9" s="5"/>
      <c r="K9" s="5"/>
    </row>
    <row r="10" spans="1:11" ht="108.75" customHeight="1" x14ac:dyDescent="0.2">
      <c r="A10" s="27"/>
      <c r="B10" s="162" t="s">
        <v>395</v>
      </c>
      <c r="C10" s="162"/>
      <c r="D10" s="162"/>
      <c r="E10" s="162"/>
      <c r="F10" s="162"/>
      <c r="G10" s="31" t="s">
        <v>338</v>
      </c>
      <c r="H10" s="28"/>
      <c r="I10" s="5"/>
      <c r="J10" s="5"/>
      <c r="K10" s="5"/>
    </row>
    <row r="11" spans="1:11" ht="60" customHeight="1" x14ac:dyDescent="0.2">
      <c r="A11" s="27"/>
      <c r="B11" s="162" t="s">
        <v>417</v>
      </c>
      <c r="C11" s="162"/>
      <c r="D11" s="162"/>
      <c r="E11" s="162"/>
      <c r="F11" s="162"/>
      <c r="G11" s="25" t="s">
        <v>338</v>
      </c>
      <c r="H11" s="28"/>
      <c r="I11" s="5"/>
      <c r="J11" s="5"/>
      <c r="K11" s="5"/>
    </row>
    <row r="12" spans="1:11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</sheetData>
  <customSheetViews>
    <customSheetView guid="{D0B43696-C677-428B-89B5-FA762F48CCFE}" showPageBreaks="1" view="pageBreakPreview">
      <selection activeCell="B11" sqref="B11:F11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B11" sqref="B11:F11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Arkusz64"/>
  <dimension ref="A2:K13"/>
  <sheetViews>
    <sheetView view="pageBreakPreview" zoomScaleNormal="100" workbookViewId="0">
      <selection activeCell="C13" sqref="C13:E13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63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304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24">
        <v>1</v>
      </c>
      <c r="B9" s="42" t="s">
        <v>305</v>
      </c>
      <c r="C9" s="25">
        <v>1167</v>
      </c>
      <c r="D9" s="25">
        <v>2014</v>
      </c>
      <c r="E9" s="41">
        <v>44925</v>
      </c>
      <c r="F9" s="25"/>
      <c r="G9" s="25"/>
      <c r="H9" s="25"/>
      <c r="I9" s="5"/>
      <c r="J9" s="5"/>
      <c r="K9" s="5"/>
    </row>
    <row r="10" spans="1:11" ht="108.75" customHeight="1" x14ac:dyDescent="0.2">
      <c r="A10" s="27"/>
      <c r="B10" s="162" t="s">
        <v>306</v>
      </c>
      <c r="C10" s="162"/>
      <c r="D10" s="162"/>
      <c r="E10" s="162"/>
      <c r="F10" s="162"/>
      <c r="G10" s="31" t="s">
        <v>338</v>
      </c>
      <c r="H10" s="28"/>
      <c r="I10" s="5"/>
      <c r="J10" s="5"/>
      <c r="K10" s="5"/>
    </row>
    <row r="11" spans="1:11" ht="47.25" customHeight="1" x14ac:dyDescent="0.2">
      <c r="A11" s="27"/>
      <c r="B11" s="162" t="s">
        <v>307</v>
      </c>
      <c r="C11" s="162"/>
      <c r="D11" s="162"/>
      <c r="E11" s="162"/>
      <c r="F11" s="162"/>
      <c r="G11" s="25" t="s">
        <v>338</v>
      </c>
      <c r="H11" s="28"/>
      <c r="I11" s="5"/>
      <c r="J11" s="5"/>
      <c r="K11" s="5"/>
    </row>
    <row r="12" spans="1:11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</sheetData>
  <customSheetViews>
    <customSheetView guid="{D0B43696-C677-428B-89B5-FA762F48CCFE}" showPageBreaks="1" view="pageBreakPreview">
      <selection activeCell="B11" sqref="B11:F11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B11" sqref="B11:F11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Arkusz65"/>
  <dimension ref="A2:K17"/>
  <sheetViews>
    <sheetView view="pageBreakPreview" zoomScaleNormal="100" workbookViewId="0">
      <selection activeCell="C17" sqref="C17:E17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64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599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24">
        <v>1</v>
      </c>
      <c r="B9" s="57" t="s">
        <v>600</v>
      </c>
      <c r="C9" s="57" t="s">
        <v>601</v>
      </c>
      <c r="D9" s="57">
        <v>2014</v>
      </c>
      <c r="E9" s="58">
        <v>44975</v>
      </c>
      <c r="F9" s="25"/>
      <c r="G9" s="25"/>
      <c r="H9" s="25"/>
      <c r="I9" s="5"/>
      <c r="J9" s="5"/>
      <c r="K9" s="5"/>
    </row>
    <row r="10" spans="1:11" s="74" customFormat="1" x14ac:dyDescent="0.2">
      <c r="A10" s="24">
        <v>2</v>
      </c>
      <c r="B10" s="57" t="s">
        <v>600</v>
      </c>
      <c r="C10" s="57" t="s">
        <v>602</v>
      </c>
      <c r="D10" s="57">
        <v>2014</v>
      </c>
      <c r="E10" s="58">
        <v>44975</v>
      </c>
      <c r="F10" s="25"/>
      <c r="G10" s="25"/>
      <c r="H10" s="25"/>
      <c r="I10" s="5"/>
      <c r="J10" s="5"/>
      <c r="K10" s="5"/>
    </row>
    <row r="11" spans="1:11" s="74" customFormat="1" x14ac:dyDescent="0.2">
      <c r="A11" s="24">
        <v>3</v>
      </c>
      <c r="B11" s="57" t="s">
        <v>600</v>
      </c>
      <c r="C11" s="57" t="s">
        <v>603</v>
      </c>
      <c r="D11" s="57">
        <v>2014</v>
      </c>
      <c r="E11" s="58">
        <v>44975</v>
      </c>
      <c r="F11" s="25"/>
      <c r="G11" s="25"/>
      <c r="H11" s="25"/>
      <c r="I11" s="5"/>
      <c r="J11" s="5"/>
      <c r="K11" s="5"/>
    </row>
    <row r="12" spans="1:11" s="74" customFormat="1" x14ac:dyDescent="0.2">
      <c r="A12" s="24">
        <v>4</v>
      </c>
      <c r="B12" s="57" t="s">
        <v>600</v>
      </c>
      <c r="C12" s="57" t="s">
        <v>604</v>
      </c>
      <c r="D12" s="57">
        <v>2014</v>
      </c>
      <c r="E12" s="58">
        <v>44975</v>
      </c>
      <c r="F12" s="25"/>
      <c r="G12" s="25"/>
      <c r="H12" s="25"/>
      <c r="I12" s="5"/>
      <c r="J12" s="5"/>
      <c r="K12" s="5"/>
    </row>
    <row r="13" spans="1:11" s="74" customFormat="1" x14ac:dyDescent="0.2">
      <c r="A13" s="24">
        <v>5</v>
      </c>
      <c r="B13" s="57" t="s">
        <v>600</v>
      </c>
      <c r="C13" s="57" t="s">
        <v>605</v>
      </c>
      <c r="D13" s="57">
        <v>2014</v>
      </c>
      <c r="E13" s="58">
        <v>44975</v>
      </c>
      <c r="F13" s="25"/>
      <c r="G13" s="25"/>
      <c r="H13" s="25"/>
      <c r="I13" s="5"/>
      <c r="J13" s="5"/>
      <c r="K13" s="5"/>
    </row>
    <row r="14" spans="1:11" ht="124.5" customHeight="1" x14ac:dyDescent="0.2">
      <c r="A14" s="27"/>
      <c r="B14" s="159" t="s">
        <v>319</v>
      </c>
      <c r="C14" s="159"/>
      <c r="D14" s="159"/>
      <c r="E14" s="159"/>
      <c r="F14" s="159"/>
      <c r="G14" s="31" t="s">
        <v>338</v>
      </c>
      <c r="H14" s="28"/>
      <c r="I14" s="5"/>
      <c r="J14" s="5"/>
      <c r="K14" s="5"/>
    </row>
    <row r="15" spans="1:11" ht="47.25" customHeight="1" x14ac:dyDescent="0.2">
      <c r="A15" s="27"/>
      <c r="B15" s="159" t="s">
        <v>144</v>
      </c>
      <c r="C15" s="159"/>
      <c r="D15" s="159"/>
      <c r="E15" s="159"/>
      <c r="F15" s="159"/>
      <c r="G15" s="25" t="s">
        <v>338</v>
      </c>
      <c r="H15" s="28"/>
      <c r="I15" s="5"/>
      <c r="J15" s="5"/>
      <c r="K15" s="5"/>
    </row>
    <row r="16" spans="1:11" x14ac:dyDescent="0.2">
      <c r="B16" s="3"/>
      <c r="C16" s="26"/>
      <c r="D16" s="5"/>
      <c r="E16" s="5"/>
      <c r="F16" s="5"/>
      <c r="G16" s="5"/>
      <c r="H16" s="5"/>
      <c r="I16" s="5"/>
      <c r="J16" s="5"/>
      <c r="K16" s="5"/>
    </row>
    <row r="17" spans="1:11" x14ac:dyDescent="0.2">
      <c r="A17" s="150" t="s">
        <v>192</v>
      </c>
      <c r="B17" s="151"/>
      <c r="C17" s="152"/>
      <c r="D17" s="153"/>
      <c r="E17" s="154"/>
      <c r="F17" s="155" t="s">
        <v>178</v>
      </c>
      <c r="G17" s="156"/>
      <c r="H17" s="157"/>
      <c r="I17" s="152"/>
      <c r="J17" s="153"/>
      <c r="K17" s="158"/>
    </row>
  </sheetData>
  <customSheetViews>
    <customSheetView guid="{D0B43696-C677-428B-89B5-FA762F48CCFE}" showPageBreaks="1" view="pageBreakPreview" topLeftCell="A37">
      <selection activeCell="J57" sqref="J57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J57" sqref="J57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4:F14"/>
    <mergeCell ref="I17:K17"/>
    <mergeCell ref="B15:F15"/>
    <mergeCell ref="A17:B17"/>
    <mergeCell ref="C17:E17"/>
    <mergeCell ref="F17:H17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Arkusz66"/>
  <dimension ref="A2:K13"/>
  <sheetViews>
    <sheetView view="pageBreakPreview" zoomScaleNormal="100" workbookViewId="0">
      <selection activeCell="C13" sqref="C13:E13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65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320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24">
        <v>1</v>
      </c>
      <c r="B9" s="57" t="s">
        <v>321</v>
      </c>
      <c r="C9" s="57">
        <v>100299892</v>
      </c>
      <c r="D9" s="57">
        <v>2006</v>
      </c>
      <c r="E9" s="58">
        <v>44953</v>
      </c>
      <c r="F9" s="25"/>
      <c r="G9" s="25"/>
      <c r="H9" s="25"/>
      <c r="I9" s="5"/>
      <c r="J9" s="5"/>
      <c r="K9" s="5"/>
    </row>
    <row r="10" spans="1:11" ht="124.5" customHeight="1" x14ac:dyDescent="0.2">
      <c r="A10" s="27"/>
      <c r="B10" s="159" t="s">
        <v>151</v>
      </c>
      <c r="C10" s="159"/>
      <c r="D10" s="159"/>
      <c r="E10" s="159"/>
      <c r="F10" s="159"/>
      <c r="G10" s="31" t="s">
        <v>338</v>
      </c>
      <c r="H10" s="28"/>
      <c r="I10" s="5"/>
      <c r="J10" s="5"/>
      <c r="K10" s="5"/>
    </row>
    <row r="11" spans="1:11" ht="57.75" customHeight="1" x14ac:dyDescent="0.2">
      <c r="A11" s="27"/>
      <c r="B11" s="162" t="s">
        <v>417</v>
      </c>
      <c r="C11" s="162"/>
      <c r="D11" s="162"/>
      <c r="E11" s="162"/>
      <c r="F11" s="162"/>
      <c r="G11" s="25" t="s">
        <v>338</v>
      </c>
      <c r="H11" s="28"/>
      <c r="I11" s="5"/>
      <c r="J11" s="5"/>
      <c r="K11" s="5"/>
    </row>
    <row r="12" spans="1:11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</sheetData>
  <customSheetViews>
    <customSheetView guid="{D0B43696-C677-428B-89B5-FA762F48CCFE}" showPageBreaks="1" view="pageBreakPreview">
      <selection activeCell="H11" sqref="H11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H11" sqref="H11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Arkusz68"/>
  <dimension ref="A2:K15"/>
  <sheetViews>
    <sheetView view="pageBreakPreview" zoomScaleNormal="100" workbookViewId="0">
      <selection activeCell="C15" sqref="C15:E15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66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322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s="13" customFormat="1" ht="25.5" x14ac:dyDescent="0.2">
      <c r="A9" s="30">
        <v>1</v>
      </c>
      <c r="B9" s="60" t="s">
        <v>323</v>
      </c>
      <c r="C9" s="59" t="s">
        <v>325</v>
      </c>
      <c r="D9" s="25">
        <v>2011</v>
      </c>
      <c r="E9" s="58">
        <v>44923</v>
      </c>
      <c r="F9" s="25"/>
      <c r="G9" s="25"/>
      <c r="H9" s="25"/>
      <c r="I9" s="5"/>
      <c r="J9" s="5"/>
      <c r="K9" s="5"/>
    </row>
    <row r="10" spans="1:11" s="13" customFormat="1" x14ac:dyDescent="0.2">
      <c r="A10" s="30">
        <v>2</v>
      </c>
      <c r="B10" s="60" t="s">
        <v>326</v>
      </c>
      <c r="C10" s="59" t="s">
        <v>327</v>
      </c>
      <c r="D10" s="25">
        <v>2005</v>
      </c>
      <c r="E10" s="61">
        <v>44800</v>
      </c>
      <c r="F10" s="25"/>
      <c r="G10" s="25"/>
      <c r="H10" s="25"/>
      <c r="I10" s="5"/>
      <c r="J10" s="5"/>
      <c r="K10" s="5"/>
    </row>
    <row r="11" spans="1:11" x14ac:dyDescent="0.2">
      <c r="A11" s="24">
        <v>3</v>
      </c>
      <c r="B11" s="57" t="s">
        <v>324</v>
      </c>
      <c r="C11" s="57">
        <v>6010060</v>
      </c>
      <c r="D11" s="62">
        <v>2006</v>
      </c>
      <c r="E11" s="58">
        <v>44923</v>
      </c>
      <c r="F11" s="25"/>
      <c r="G11" s="25"/>
      <c r="H11" s="25"/>
      <c r="I11" s="5"/>
      <c r="J11" s="5"/>
      <c r="K11" s="5"/>
    </row>
    <row r="12" spans="1:11" ht="126" customHeight="1" x14ac:dyDescent="0.2">
      <c r="A12" s="27"/>
      <c r="B12" s="159" t="s">
        <v>151</v>
      </c>
      <c r="C12" s="159"/>
      <c r="D12" s="159"/>
      <c r="E12" s="159"/>
      <c r="F12" s="159"/>
      <c r="G12" s="31" t="s">
        <v>338</v>
      </c>
      <c r="H12" s="28"/>
      <c r="I12" s="5"/>
      <c r="J12" s="5"/>
      <c r="K12" s="5"/>
    </row>
    <row r="13" spans="1:11" ht="57.75" customHeight="1" x14ac:dyDescent="0.2">
      <c r="A13" s="27"/>
      <c r="B13" s="159" t="s">
        <v>402</v>
      </c>
      <c r="C13" s="159"/>
      <c r="D13" s="159"/>
      <c r="E13" s="159"/>
      <c r="F13" s="159"/>
      <c r="G13" s="25" t="s">
        <v>338</v>
      </c>
      <c r="H13" s="28"/>
      <c r="I13" s="5"/>
      <c r="J13" s="5"/>
      <c r="K13" s="5"/>
    </row>
    <row r="14" spans="1:11" x14ac:dyDescent="0.2">
      <c r="B14" s="3"/>
      <c r="C14" s="26"/>
      <c r="D14" s="5"/>
      <c r="E14" s="5"/>
      <c r="F14" s="5"/>
      <c r="G14" s="5"/>
      <c r="H14" s="5"/>
      <c r="I14" s="5"/>
      <c r="J14" s="5"/>
      <c r="K14" s="5"/>
    </row>
    <row r="15" spans="1:11" x14ac:dyDescent="0.2">
      <c r="A15" s="150" t="s">
        <v>192</v>
      </c>
      <c r="B15" s="151"/>
      <c r="C15" s="152"/>
      <c r="D15" s="153"/>
      <c r="E15" s="154"/>
      <c r="F15" s="155" t="s">
        <v>178</v>
      </c>
      <c r="G15" s="156"/>
      <c r="H15" s="157"/>
      <c r="I15" s="152"/>
      <c r="J15" s="153"/>
      <c r="K15" s="158"/>
    </row>
  </sheetData>
  <customSheetViews>
    <customSheetView guid="{D0B43696-C677-428B-89B5-FA762F48CCFE}" showPageBreaks="1" view="pageBreakPreview">
      <selection activeCell="B13" sqref="B13:F13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B13" sqref="B13:F13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2:F12"/>
    <mergeCell ref="I15:K15"/>
    <mergeCell ref="B13:F13"/>
    <mergeCell ref="A15:B15"/>
    <mergeCell ref="C15:E15"/>
    <mergeCell ref="F15:H15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Arkusz69"/>
  <dimension ref="A2:K14"/>
  <sheetViews>
    <sheetView view="pageBreakPreview" zoomScaleNormal="100" workbookViewId="0">
      <selection activeCell="C14" sqref="C14:E14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67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62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s="13" customFormat="1" x14ac:dyDescent="0.2">
      <c r="A9" s="30">
        <v>1</v>
      </c>
      <c r="B9" s="60" t="s">
        <v>60</v>
      </c>
      <c r="C9" s="63" t="s">
        <v>61</v>
      </c>
      <c r="D9" s="25">
        <v>2017</v>
      </c>
      <c r="E9" s="61">
        <v>44938</v>
      </c>
      <c r="F9" s="25"/>
      <c r="G9" s="25"/>
      <c r="H9" s="70"/>
      <c r="I9" s="5"/>
      <c r="J9" s="5"/>
      <c r="K9" s="5"/>
    </row>
    <row r="10" spans="1:11" x14ac:dyDescent="0.2">
      <c r="A10" s="24">
        <v>2</v>
      </c>
      <c r="B10" s="57" t="s">
        <v>63</v>
      </c>
      <c r="C10" s="64" t="s">
        <v>64</v>
      </c>
      <c r="D10" s="25">
        <v>2017</v>
      </c>
      <c r="E10" s="61">
        <v>44938</v>
      </c>
      <c r="F10" s="25"/>
      <c r="G10" s="25"/>
      <c r="H10" s="25"/>
      <c r="I10" s="5"/>
      <c r="J10" s="5"/>
      <c r="K10" s="5"/>
    </row>
    <row r="11" spans="1:11" ht="106.5" customHeight="1" x14ac:dyDescent="0.2">
      <c r="A11" s="27"/>
      <c r="B11" s="162" t="s">
        <v>445</v>
      </c>
      <c r="C11" s="162"/>
      <c r="D11" s="162"/>
      <c r="E11" s="162"/>
      <c r="F11" s="162"/>
      <c r="G11" s="31" t="s">
        <v>338</v>
      </c>
      <c r="H11" s="28"/>
      <c r="I11" s="5"/>
      <c r="J11" s="5"/>
      <c r="K11" s="5"/>
    </row>
    <row r="12" spans="1:11" ht="54.75" customHeight="1" x14ac:dyDescent="0.2">
      <c r="A12" s="27"/>
      <c r="B12" s="159" t="s">
        <v>402</v>
      </c>
      <c r="C12" s="159"/>
      <c r="D12" s="159"/>
      <c r="E12" s="159"/>
      <c r="F12" s="159"/>
      <c r="G12" s="25" t="s">
        <v>338</v>
      </c>
      <c r="H12" s="28"/>
      <c r="I12" s="5"/>
      <c r="J12" s="5"/>
      <c r="K12" s="5"/>
    </row>
    <row r="13" spans="1:11" x14ac:dyDescent="0.2">
      <c r="B13" s="3"/>
      <c r="C13" s="26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150" t="s">
        <v>192</v>
      </c>
      <c r="B14" s="151"/>
      <c r="C14" s="152"/>
      <c r="D14" s="153"/>
      <c r="E14" s="154"/>
      <c r="F14" s="155" t="s">
        <v>178</v>
      </c>
      <c r="G14" s="156"/>
      <c r="H14" s="157"/>
      <c r="I14" s="152"/>
      <c r="J14" s="153"/>
      <c r="K14" s="158"/>
    </row>
  </sheetData>
  <customSheetViews>
    <customSheetView guid="{D0B43696-C677-428B-89B5-FA762F48CCFE}" showPageBreaks="1" view="pageBreakPreview">
      <selection activeCell="H12" sqref="H12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H11" sqref="H11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1:F11"/>
    <mergeCell ref="I14:K14"/>
    <mergeCell ref="B12:F12"/>
    <mergeCell ref="A14:B14"/>
    <mergeCell ref="C14:E14"/>
    <mergeCell ref="F14:H14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Arkusz70"/>
  <dimension ref="A2:K13"/>
  <sheetViews>
    <sheetView view="pageBreakPreview" zoomScaleNormal="100" workbookViewId="0">
      <selection activeCell="C13" sqref="C13:E13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68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154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s="13" customFormat="1" x14ac:dyDescent="0.2">
      <c r="A9" s="30">
        <v>1</v>
      </c>
      <c r="B9" s="24" t="s">
        <v>165</v>
      </c>
      <c r="C9" s="65" t="s">
        <v>157</v>
      </c>
      <c r="D9" s="25">
        <v>2017</v>
      </c>
      <c r="E9" s="66">
        <v>44958</v>
      </c>
      <c r="F9" s="25"/>
      <c r="G9" s="25"/>
      <c r="H9" s="25"/>
      <c r="I9" s="5"/>
      <c r="J9" s="5"/>
      <c r="K9" s="5"/>
    </row>
    <row r="10" spans="1:11" ht="109.9" customHeight="1" x14ac:dyDescent="0.2">
      <c r="A10" s="27"/>
      <c r="B10" s="162" t="s">
        <v>379</v>
      </c>
      <c r="C10" s="162"/>
      <c r="D10" s="162"/>
      <c r="E10" s="162"/>
      <c r="F10" s="162"/>
      <c r="G10" s="31" t="s">
        <v>338</v>
      </c>
      <c r="H10" s="28"/>
      <c r="I10" s="5"/>
      <c r="J10" s="5"/>
      <c r="K10" s="5"/>
    </row>
    <row r="11" spans="1:11" ht="57.75" customHeight="1" x14ac:dyDescent="0.2">
      <c r="A11" s="27"/>
      <c r="B11" s="162" t="s">
        <v>417</v>
      </c>
      <c r="C11" s="162"/>
      <c r="D11" s="162"/>
      <c r="E11" s="162"/>
      <c r="F11" s="162"/>
      <c r="G11" s="25" t="s">
        <v>338</v>
      </c>
      <c r="H11" s="28"/>
      <c r="I11" s="5"/>
      <c r="J11" s="5"/>
      <c r="K11" s="5"/>
    </row>
    <row r="12" spans="1:11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</sheetData>
  <customSheetViews>
    <customSheetView guid="{D0B43696-C677-428B-89B5-FA762F48CCFE}" showPageBreaks="1" view="pageBreakPreview">
      <selection activeCell="H20" sqref="H20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H10" sqref="H10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Arkusz71"/>
  <dimension ref="A2:K17"/>
  <sheetViews>
    <sheetView view="pageBreakPreview" zoomScaleNormal="100" workbookViewId="0">
      <selection activeCell="C17" sqref="C17:E17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69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167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s="13" customFormat="1" x14ac:dyDescent="0.2">
      <c r="A9" s="30">
        <v>1</v>
      </c>
      <c r="B9" s="30" t="s">
        <v>168</v>
      </c>
      <c r="C9" s="65">
        <v>50984</v>
      </c>
      <c r="D9" s="25">
        <v>2008</v>
      </c>
      <c r="E9" s="66">
        <v>44846</v>
      </c>
      <c r="F9" s="25"/>
      <c r="G9" s="25"/>
      <c r="H9" s="25"/>
      <c r="I9" s="5"/>
      <c r="J9" s="5"/>
      <c r="K9" s="5"/>
    </row>
    <row r="10" spans="1:11" s="13" customFormat="1" x14ac:dyDescent="0.2">
      <c r="A10" s="30">
        <v>2</v>
      </c>
      <c r="B10" s="24" t="s">
        <v>160</v>
      </c>
      <c r="C10" s="32" t="s">
        <v>161</v>
      </c>
      <c r="D10" s="25">
        <v>2017</v>
      </c>
      <c r="E10" s="66">
        <v>44846</v>
      </c>
      <c r="F10" s="25"/>
      <c r="G10" s="25"/>
      <c r="H10" s="25"/>
      <c r="I10" s="5"/>
      <c r="J10" s="5"/>
      <c r="K10" s="5"/>
    </row>
    <row r="11" spans="1:11" s="13" customFormat="1" x14ac:dyDescent="0.2">
      <c r="A11" s="30">
        <v>3</v>
      </c>
      <c r="B11" s="24" t="s">
        <v>162</v>
      </c>
      <c r="C11" s="32" t="s">
        <v>163</v>
      </c>
      <c r="D11" s="25">
        <v>2017</v>
      </c>
      <c r="E11" s="66">
        <v>44846</v>
      </c>
      <c r="F11" s="25"/>
      <c r="G11" s="25"/>
      <c r="H11" s="25"/>
      <c r="I11" s="5"/>
      <c r="J11" s="5"/>
      <c r="K11" s="5"/>
    </row>
    <row r="12" spans="1:11" x14ac:dyDescent="0.2">
      <c r="A12" s="30">
        <v>4</v>
      </c>
      <c r="B12" s="24" t="s">
        <v>162</v>
      </c>
      <c r="C12" s="32" t="s">
        <v>164</v>
      </c>
      <c r="D12" s="25">
        <v>2017</v>
      </c>
      <c r="E12" s="66">
        <v>44846</v>
      </c>
      <c r="F12" s="25"/>
      <c r="G12" s="25"/>
      <c r="H12" s="25"/>
      <c r="I12" s="5"/>
      <c r="J12" s="5"/>
      <c r="K12" s="5"/>
    </row>
    <row r="13" spans="1:11" s="96" customFormat="1" x14ac:dyDescent="0.2">
      <c r="A13" s="81">
        <v>5</v>
      </c>
      <c r="B13" s="24" t="s">
        <v>651</v>
      </c>
      <c r="C13" s="32" t="s">
        <v>652</v>
      </c>
      <c r="D13" s="25">
        <v>2011</v>
      </c>
      <c r="E13" s="66">
        <v>44772</v>
      </c>
      <c r="F13" s="25"/>
      <c r="G13" s="31"/>
      <c r="H13" s="25"/>
      <c r="I13" s="5"/>
      <c r="J13" s="5"/>
      <c r="K13" s="5"/>
    </row>
    <row r="14" spans="1:11" ht="112.9" customHeight="1" x14ac:dyDescent="0.2">
      <c r="A14" s="27"/>
      <c r="B14" s="162" t="s">
        <v>445</v>
      </c>
      <c r="C14" s="162"/>
      <c r="D14" s="162"/>
      <c r="E14" s="162"/>
      <c r="F14" s="162"/>
      <c r="G14" s="31" t="s">
        <v>338</v>
      </c>
      <c r="H14" s="28"/>
      <c r="I14" s="5"/>
      <c r="J14" s="5"/>
      <c r="K14" s="5"/>
    </row>
    <row r="15" spans="1:11" ht="57.75" customHeight="1" x14ac:dyDescent="0.2">
      <c r="A15" s="27"/>
      <c r="B15" s="162" t="s">
        <v>417</v>
      </c>
      <c r="C15" s="162"/>
      <c r="D15" s="162"/>
      <c r="E15" s="162"/>
      <c r="F15" s="162"/>
      <c r="G15" s="25" t="s">
        <v>338</v>
      </c>
      <c r="H15" s="28"/>
      <c r="I15" s="5"/>
      <c r="J15" s="5"/>
      <c r="K15" s="5"/>
    </row>
    <row r="16" spans="1:11" x14ac:dyDescent="0.2">
      <c r="B16" s="3"/>
      <c r="C16" s="26"/>
      <c r="D16" s="5"/>
      <c r="E16" s="5"/>
      <c r="F16" s="5"/>
      <c r="G16" s="5"/>
      <c r="H16" s="5"/>
      <c r="I16" s="5"/>
      <c r="J16" s="5"/>
      <c r="K16" s="5"/>
    </row>
    <row r="17" spans="1:11" x14ac:dyDescent="0.2">
      <c r="A17" s="150" t="s">
        <v>192</v>
      </c>
      <c r="B17" s="151"/>
      <c r="C17" s="152"/>
      <c r="D17" s="153"/>
      <c r="E17" s="154"/>
      <c r="F17" s="155" t="s">
        <v>178</v>
      </c>
      <c r="G17" s="156"/>
      <c r="H17" s="157"/>
      <c r="I17" s="152"/>
      <c r="J17" s="153"/>
      <c r="K17" s="158"/>
    </row>
  </sheetData>
  <customSheetViews>
    <customSheetView guid="{D0B43696-C677-428B-89B5-FA762F48CCFE}" showPageBreaks="1" view="pageBreakPreview">
      <selection activeCell="B14" sqref="B14:F14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H13" sqref="H13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4:F14"/>
    <mergeCell ref="I17:K17"/>
    <mergeCell ref="B15:F15"/>
    <mergeCell ref="A17:B17"/>
    <mergeCell ref="C17:E17"/>
    <mergeCell ref="F17:H17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Arkusz72"/>
  <dimension ref="A2:K16"/>
  <sheetViews>
    <sheetView view="pageBreakPreview" zoomScaleNormal="100" workbookViewId="0">
      <selection activeCell="C16" sqref="C16:E16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70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649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s="13" customFormat="1" x14ac:dyDescent="0.2">
      <c r="A9" s="30">
        <v>1</v>
      </c>
      <c r="B9" s="24" t="s">
        <v>155</v>
      </c>
      <c r="C9" s="65">
        <v>3205</v>
      </c>
      <c r="D9" s="25">
        <v>2017</v>
      </c>
      <c r="E9" s="66">
        <v>44862</v>
      </c>
      <c r="F9" s="25"/>
      <c r="G9" s="25"/>
      <c r="H9" s="25"/>
      <c r="I9" s="5"/>
      <c r="J9" s="5"/>
      <c r="K9" s="5"/>
    </row>
    <row r="10" spans="1:11" s="13" customFormat="1" x14ac:dyDescent="0.2">
      <c r="A10" s="30">
        <v>2</v>
      </c>
      <c r="B10" s="24" t="s">
        <v>156</v>
      </c>
      <c r="C10" s="32" t="s">
        <v>159</v>
      </c>
      <c r="D10" s="25">
        <v>2017</v>
      </c>
      <c r="E10" s="66">
        <v>44862</v>
      </c>
      <c r="F10" s="25"/>
      <c r="G10" s="25"/>
      <c r="H10" s="25"/>
      <c r="I10" s="5"/>
      <c r="J10" s="5"/>
      <c r="K10" s="5"/>
    </row>
    <row r="11" spans="1:11" s="93" customFormat="1" x14ac:dyDescent="0.2">
      <c r="A11" s="94">
        <v>3</v>
      </c>
      <c r="B11" s="24" t="s">
        <v>647</v>
      </c>
      <c r="C11" s="32" t="s">
        <v>648</v>
      </c>
      <c r="D11" s="25">
        <v>2012</v>
      </c>
      <c r="E11" s="66">
        <v>44743</v>
      </c>
      <c r="F11" s="25"/>
      <c r="G11" s="31"/>
      <c r="H11" s="28"/>
      <c r="I11" s="5"/>
      <c r="J11" s="5"/>
      <c r="K11" s="5"/>
    </row>
    <row r="12" spans="1:11" s="80" customFormat="1" x14ac:dyDescent="0.2">
      <c r="A12" s="89">
        <v>4</v>
      </c>
      <c r="B12" s="24" t="s">
        <v>612</v>
      </c>
      <c r="C12" s="32" t="s">
        <v>613</v>
      </c>
      <c r="D12" s="25">
        <v>2011</v>
      </c>
      <c r="E12" s="66">
        <v>44835</v>
      </c>
      <c r="F12" s="25"/>
      <c r="G12" s="31"/>
      <c r="H12" s="28"/>
      <c r="I12" s="5"/>
      <c r="J12" s="5"/>
      <c r="K12" s="5"/>
    </row>
    <row r="13" spans="1:11" ht="110.45" customHeight="1" x14ac:dyDescent="0.2">
      <c r="A13" s="27"/>
      <c r="B13" s="162" t="s">
        <v>445</v>
      </c>
      <c r="C13" s="162"/>
      <c r="D13" s="162"/>
      <c r="E13" s="162"/>
      <c r="F13" s="162"/>
      <c r="G13" s="31" t="s">
        <v>338</v>
      </c>
      <c r="H13" s="28"/>
      <c r="I13" s="5"/>
      <c r="J13" s="5"/>
      <c r="K13" s="5"/>
    </row>
    <row r="14" spans="1:11" ht="57.75" customHeight="1" x14ac:dyDescent="0.2">
      <c r="A14" s="27"/>
      <c r="B14" s="162" t="s">
        <v>417</v>
      </c>
      <c r="C14" s="162"/>
      <c r="D14" s="162"/>
      <c r="E14" s="162"/>
      <c r="F14" s="162"/>
      <c r="G14" s="25" t="s">
        <v>338</v>
      </c>
      <c r="H14" s="28"/>
      <c r="I14" s="5"/>
      <c r="J14" s="5"/>
      <c r="K14" s="5"/>
    </row>
    <row r="15" spans="1:11" x14ac:dyDescent="0.2">
      <c r="B15" s="3"/>
      <c r="C15" s="26"/>
      <c r="D15" s="5"/>
      <c r="E15" s="5"/>
      <c r="F15" s="5"/>
      <c r="G15" s="5"/>
      <c r="H15" s="5"/>
      <c r="I15" s="5"/>
      <c r="J15" s="5"/>
      <c r="K15" s="5"/>
    </row>
    <row r="16" spans="1:11" x14ac:dyDescent="0.2">
      <c r="A16" s="150" t="s">
        <v>192</v>
      </c>
      <c r="B16" s="151"/>
      <c r="C16" s="152"/>
      <c r="D16" s="153"/>
      <c r="E16" s="154"/>
      <c r="F16" s="155" t="s">
        <v>178</v>
      </c>
      <c r="G16" s="156"/>
      <c r="H16" s="157"/>
      <c r="I16" s="152"/>
      <c r="J16" s="153"/>
      <c r="K16" s="158"/>
    </row>
  </sheetData>
  <customSheetViews>
    <customSheetView guid="{D0B43696-C677-428B-89B5-FA762F48CCFE}" showPageBreaks="1" view="pageBreakPreview">
      <selection activeCell="H11" sqref="H11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F11" sqref="F11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3:F13"/>
    <mergeCell ref="I16:K16"/>
    <mergeCell ref="B14:F14"/>
    <mergeCell ref="A16:B16"/>
    <mergeCell ref="C16:E16"/>
    <mergeCell ref="F16:H16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Arkusz73"/>
  <dimension ref="A2:K13"/>
  <sheetViews>
    <sheetView view="pageBreakPreview" zoomScaleNormal="100" workbookViewId="0">
      <selection activeCell="C13" sqref="C13:E13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71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591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s="13" customFormat="1" x14ac:dyDescent="0.2">
      <c r="A9" s="30">
        <v>1</v>
      </c>
      <c r="B9" s="60" t="s">
        <v>592</v>
      </c>
      <c r="C9" s="59">
        <v>10000979</v>
      </c>
      <c r="D9" s="25">
        <v>2017</v>
      </c>
      <c r="E9" s="61">
        <v>44946</v>
      </c>
      <c r="F9" s="25"/>
      <c r="G9" s="25"/>
      <c r="H9" s="25"/>
      <c r="I9" s="5"/>
      <c r="J9" s="5"/>
      <c r="K9" s="5"/>
    </row>
    <row r="10" spans="1:11" ht="132.6" customHeight="1" x14ac:dyDescent="0.2">
      <c r="A10" s="27"/>
      <c r="B10" s="162" t="s">
        <v>650</v>
      </c>
      <c r="C10" s="162"/>
      <c r="D10" s="162"/>
      <c r="E10" s="162"/>
      <c r="F10" s="162"/>
      <c r="G10" s="31" t="s">
        <v>338</v>
      </c>
      <c r="H10" s="28"/>
      <c r="I10" s="5"/>
      <c r="J10" s="5"/>
      <c r="K10" s="5"/>
    </row>
    <row r="11" spans="1:11" ht="57.75" customHeight="1" x14ac:dyDescent="0.2">
      <c r="A11" s="27"/>
      <c r="B11" s="162" t="s">
        <v>417</v>
      </c>
      <c r="C11" s="162"/>
      <c r="D11" s="162"/>
      <c r="E11" s="162"/>
      <c r="F11" s="162"/>
      <c r="G11" s="25" t="s">
        <v>338</v>
      </c>
      <c r="H11" s="28"/>
      <c r="I11" s="5"/>
      <c r="J11" s="5"/>
      <c r="K11" s="5"/>
    </row>
    <row r="12" spans="1:11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</sheetData>
  <customSheetViews>
    <customSheetView guid="{D0B43696-C677-428B-89B5-FA762F48CCFE}" showPageBreaks="1" view="pageBreakPreview">
      <selection activeCell="I10" sqref="I10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I10" sqref="I10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Arkusz74"/>
  <dimension ref="A2:K14"/>
  <sheetViews>
    <sheetView view="pageBreakPreview" zoomScaleNormal="100" workbookViewId="0">
      <selection activeCell="C14" sqref="C14:E14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72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308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s="13" customFormat="1" x14ac:dyDescent="0.2">
      <c r="A9" s="30">
        <v>1</v>
      </c>
      <c r="B9" s="60" t="s">
        <v>309</v>
      </c>
      <c r="C9" s="63" t="s">
        <v>311</v>
      </c>
      <c r="D9" s="25">
        <v>2014</v>
      </c>
      <c r="E9" s="61">
        <v>44723</v>
      </c>
      <c r="F9" s="25"/>
      <c r="G9" s="25"/>
      <c r="H9" s="25"/>
      <c r="I9" s="5"/>
      <c r="J9" s="5"/>
      <c r="K9" s="5"/>
    </row>
    <row r="10" spans="1:11" s="13" customFormat="1" x14ac:dyDescent="0.2">
      <c r="A10" s="30">
        <v>2</v>
      </c>
      <c r="B10" s="60" t="s">
        <v>310</v>
      </c>
      <c r="C10" s="63" t="s">
        <v>312</v>
      </c>
      <c r="D10" s="25">
        <v>2014</v>
      </c>
      <c r="E10" s="61">
        <v>44723</v>
      </c>
      <c r="F10" s="25"/>
      <c r="G10" s="25"/>
      <c r="H10" s="25"/>
      <c r="I10" s="5"/>
      <c r="J10" s="5"/>
      <c r="K10" s="5"/>
    </row>
    <row r="11" spans="1:11" ht="141.6" customHeight="1" x14ac:dyDescent="0.2">
      <c r="A11" s="27"/>
      <c r="B11" s="162" t="s">
        <v>445</v>
      </c>
      <c r="C11" s="162"/>
      <c r="D11" s="162"/>
      <c r="E11" s="162"/>
      <c r="F11" s="162"/>
      <c r="G11" s="31" t="s">
        <v>338</v>
      </c>
      <c r="H11" s="28"/>
      <c r="I11" s="5"/>
      <c r="J11" s="5"/>
      <c r="K11" s="5"/>
    </row>
    <row r="12" spans="1:11" ht="57.75" customHeight="1" x14ac:dyDescent="0.2">
      <c r="A12" s="27"/>
      <c r="B12" s="162" t="s">
        <v>417</v>
      </c>
      <c r="C12" s="162"/>
      <c r="D12" s="162"/>
      <c r="E12" s="162"/>
      <c r="F12" s="162"/>
      <c r="G12" s="25" t="s">
        <v>338</v>
      </c>
      <c r="H12" s="28"/>
      <c r="I12" s="5"/>
      <c r="J12" s="5"/>
      <c r="K12" s="5"/>
    </row>
    <row r="13" spans="1:11" x14ac:dyDescent="0.2">
      <c r="B13" s="3"/>
      <c r="C13" s="26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150" t="s">
        <v>192</v>
      </c>
      <c r="B14" s="151"/>
      <c r="C14" s="152"/>
      <c r="D14" s="153"/>
      <c r="E14" s="154"/>
      <c r="F14" s="155" t="s">
        <v>178</v>
      </c>
      <c r="G14" s="156"/>
      <c r="H14" s="157"/>
      <c r="I14" s="152"/>
      <c r="J14" s="153"/>
      <c r="K14" s="158"/>
    </row>
  </sheetData>
  <customSheetViews>
    <customSheetView guid="{D0B43696-C677-428B-89B5-FA762F48CCFE}" showPageBreaks="1" view="pageBreakPreview">
      <selection activeCell="C15" sqref="C15:E15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G13" sqref="G13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1:F11"/>
    <mergeCell ref="I14:K14"/>
    <mergeCell ref="B12:F12"/>
    <mergeCell ref="A14:B14"/>
    <mergeCell ref="C14:E14"/>
    <mergeCell ref="F14:H14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Arkusz75"/>
  <dimension ref="A2:K16"/>
  <sheetViews>
    <sheetView view="pageBreakPreview" zoomScaleNormal="100" workbookViewId="0">
      <selection activeCell="C16" sqref="C16:E16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73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313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s="13" customFormat="1" x14ac:dyDescent="0.2">
      <c r="A9" s="30">
        <v>1</v>
      </c>
      <c r="B9" s="60" t="s">
        <v>314</v>
      </c>
      <c r="C9" s="63" t="s">
        <v>315</v>
      </c>
      <c r="D9" s="25">
        <v>2017</v>
      </c>
      <c r="E9" s="61">
        <v>44930</v>
      </c>
      <c r="F9" s="25"/>
      <c r="G9" s="25"/>
      <c r="H9" s="25"/>
      <c r="I9" s="5"/>
      <c r="J9" s="5"/>
      <c r="K9" s="5"/>
    </row>
    <row r="10" spans="1:11" s="13" customFormat="1" x14ac:dyDescent="0.2">
      <c r="A10" s="30">
        <v>2</v>
      </c>
      <c r="B10" s="60" t="s">
        <v>314</v>
      </c>
      <c r="C10" s="63" t="s">
        <v>316</v>
      </c>
      <c r="D10" s="25">
        <v>2017</v>
      </c>
      <c r="E10" s="61">
        <v>44930</v>
      </c>
      <c r="F10" s="25"/>
      <c r="G10" s="25"/>
      <c r="H10" s="25"/>
      <c r="I10" s="5"/>
      <c r="J10" s="5"/>
      <c r="K10" s="5"/>
    </row>
    <row r="11" spans="1:11" s="13" customFormat="1" x14ac:dyDescent="0.2">
      <c r="A11" s="30">
        <v>3</v>
      </c>
      <c r="B11" s="60" t="s">
        <v>314</v>
      </c>
      <c r="C11" s="63" t="s">
        <v>317</v>
      </c>
      <c r="D11" s="25">
        <v>2017</v>
      </c>
      <c r="E11" s="61">
        <v>44930</v>
      </c>
      <c r="F11" s="25"/>
      <c r="G11" s="25"/>
      <c r="H11" s="25"/>
      <c r="I11" s="5"/>
      <c r="J11" s="5"/>
      <c r="K11" s="5"/>
    </row>
    <row r="12" spans="1:11" x14ac:dyDescent="0.2">
      <c r="A12" s="30">
        <v>4</v>
      </c>
      <c r="B12" s="60" t="s">
        <v>314</v>
      </c>
      <c r="C12" s="64" t="s">
        <v>318</v>
      </c>
      <c r="D12" s="25">
        <v>2017</v>
      </c>
      <c r="E12" s="61">
        <v>44930</v>
      </c>
      <c r="F12" s="25"/>
      <c r="G12" s="25"/>
      <c r="H12" s="25"/>
      <c r="I12" s="5"/>
      <c r="J12" s="5"/>
      <c r="K12" s="5"/>
    </row>
    <row r="13" spans="1:11" ht="108.75" customHeight="1" x14ac:dyDescent="0.2">
      <c r="A13" s="27"/>
      <c r="B13" s="162" t="s">
        <v>445</v>
      </c>
      <c r="C13" s="162"/>
      <c r="D13" s="162"/>
      <c r="E13" s="162"/>
      <c r="F13" s="162"/>
      <c r="G13" s="31" t="s">
        <v>338</v>
      </c>
      <c r="H13" s="28"/>
      <c r="I13" s="5"/>
      <c r="J13" s="5"/>
      <c r="K13" s="5"/>
    </row>
    <row r="14" spans="1:11" ht="57.75" customHeight="1" x14ac:dyDescent="0.2">
      <c r="A14" s="27"/>
      <c r="B14" s="162" t="s">
        <v>417</v>
      </c>
      <c r="C14" s="162"/>
      <c r="D14" s="162"/>
      <c r="E14" s="162"/>
      <c r="F14" s="162"/>
      <c r="G14" s="25" t="s">
        <v>338</v>
      </c>
      <c r="H14" s="28"/>
      <c r="I14" s="5"/>
      <c r="J14" s="5"/>
      <c r="K14" s="5"/>
    </row>
    <row r="15" spans="1:11" x14ac:dyDescent="0.2">
      <c r="B15" s="3"/>
      <c r="C15" s="26"/>
      <c r="D15" s="5"/>
      <c r="E15" s="5"/>
      <c r="F15" s="5"/>
      <c r="G15" s="5"/>
      <c r="H15" s="5"/>
      <c r="I15" s="5"/>
      <c r="J15" s="5"/>
      <c r="K15" s="5"/>
    </row>
    <row r="16" spans="1:11" x14ac:dyDescent="0.2">
      <c r="A16" s="150" t="s">
        <v>192</v>
      </c>
      <c r="B16" s="151"/>
      <c r="C16" s="152"/>
      <c r="D16" s="153"/>
      <c r="E16" s="154"/>
      <c r="F16" s="155" t="s">
        <v>178</v>
      </c>
      <c r="G16" s="156"/>
      <c r="H16" s="157"/>
      <c r="I16" s="152"/>
      <c r="J16" s="153"/>
      <c r="K16" s="158"/>
    </row>
  </sheetData>
  <customSheetViews>
    <customSheetView guid="{D0B43696-C677-428B-89B5-FA762F48CCFE}" showPageBreaks="1" view="pageBreakPreview">
      <selection activeCell="H13" sqref="H13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 topLeftCell="A4">
      <selection activeCell="H13" sqref="H13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3:F13"/>
    <mergeCell ref="I16:K16"/>
    <mergeCell ref="B14:F14"/>
    <mergeCell ref="A16:B16"/>
    <mergeCell ref="C16:E16"/>
    <mergeCell ref="F16:H16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 codeName="Arkusz76"/>
  <dimension ref="A2:K14"/>
  <sheetViews>
    <sheetView view="pageBreakPreview" topLeftCell="A10" zoomScaleNormal="100" workbookViewId="0">
      <selection activeCell="C14" sqref="C14:E14"/>
    </sheetView>
  </sheetViews>
  <sheetFormatPr defaultRowHeight="12.75" x14ac:dyDescent="0.2"/>
  <cols>
    <col min="1" max="1" width="4" customWidth="1"/>
    <col min="2" max="2" width="25.5703125" bestFit="1" customWidth="1"/>
    <col min="3" max="3" width="16.5703125" bestFit="1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74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593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s="13" customFormat="1" ht="20.25" customHeight="1" x14ac:dyDescent="0.2">
      <c r="A9" s="30">
        <v>1</v>
      </c>
      <c r="B9" s="82" t="s">
        <v>611</v>
      </c>
      <c r="C9" s="83" t="s">
        <v>606</v>
      </c>
      <c r="D9" s="84">
        <v>2018</v>
      </c>
      <c r="E9" s="85" t="str">
        <f>"2022-11-05"</f>
        <v>2022-11-05</v>
      </c>
      <c r="F9" s="84"/>
      <c r="G9" s="84"/>
      <c r="H9" s="82"/>
      <c r="I9" s="5"/>
      <c r="J9" s="5"/>
      <c r="K9" s="5"/>
    </row>
    <row r="10" spans="1:11" s="80" customFormat="1" x14ac:dyDescent="0.2">
      <c r="A10" s="81">
        <v>2</v>
      </c>
      <c r="B10" s="82" t="s">
        <v>611</v>
      </c>
      <c r="C10" s="83" t="s">
        <v>607</v>
      </c>
      <c r="D10" s="84">
        <v>2018</v>
      </c>
      <c r="E10" s="85" t="str">
        <f>"2022-11-05"</f>
        <v>2022-11-05</v>
      </c>
      <c r="F10" s="84"/>
      <c r="G10" s="84"/>
      <c r="H10" s="82"/>
      <c r="I10" s="5"/>
      <c r="J10" s="5"/>
      <c r="K10" s="5"/>
    </row>
    <row r="11" spans="1:11" ht="258.75" customHeight="1" x14ac:dyDescent="0.2">
      <c r="A11" s="27"/>
      <c r="B11" s="162" t="s">
        <v>653</v>
      </c>
      <c r="C11" s="162"/>
      <c r="D11" s="162"/>
      <c r="E11" s="162"/>
      <c r="F11" s="162"/>
      <c r="G11" s="31" t="s">
        <v>338</v>
      </c>
      <c r="H11" s="28"/>
      <c r="I11" s="5"/>
      <c r="J11" s="5"/>
      <c r="K11" s="5"/>
    </row>
    <row r="12" spans="1:11" ht="54.75" customHeight="1" x14ac:dyDescent="0.2">
      <c r="A12" s="27"/>
      <c r="B12" s="162" t="s">
        <v>417</v>
      </c>
      <c r="C12" s="162"/>
      <c r="D12" s="162"/>
      <c r="E12" s="162"/>
      <c r="F12" s="162"/>
      <c r="G12" s="25" t="s">
        <v>338</v>
      </c>
      <c r="H12" s="28"/>
      <c r="I12" s="5"/>
      <c r="J12" s="5"/>
      <c r="K12" s="5"/>
    </row>
    <row r="13" spans="1:11" x14ac:dyDescent="0.2">
      <c r="B13" s="3"/>
      <c r="C13" s="26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150" t="s">
        <v>192</v>
      </c>
      <c r="B14" s="151"/>
      <c r="C14" s="152"/>
      <c r="D14" s="153"/>
      <c r="E14" s="154"/>
      <c r="F14" s="155" t="s">
        <v>178</v>
      </c>
      <c r="G14" s="156"/>
      <c r="H14" s="157"/>
      <c r="I14" s="152"/>
      <c r="J14" s="153"/>
      <c r="K14" s="158"/>
    </row>
  </sheetData>
  <customSheetViews>
    <customSheetView guid="{D0B43696-C677-428B-89B5-FA762F48CCFE}" showPageBreaks="1" view="pageBreakPreview">
      <selection activeCell="C16" sqref="C16:K16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 topLeftCell="A4">
      <selection activeCell="H11" sqref="H11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1:F11"/>
    <mergeCell ref="I14:K14"/>
    <mergeCell ref="B12:F12"/>
    <mergeCell ref="A14:B14"/>
    <mergeCell ref="C14:E14"/>
    <mergeCell ref="F14:H14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 codeName="Arkusz77"/>
  <dimension ref="A2:K15"/>
  <sheetViews>
    <sheetView view="pageBreakPreview" zoomScaleNormal="100" workbookViewId="0">
      <selection activeCell="C15" sqref="C15:E15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</v>
      </c>
      <c r="C2" s="21">
        <v>75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610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s="13" customFormat="1" x14ac:dyDescent="0.2">
      <c r="A9" s="30">
        <v>1</v>
      </c>
      <c r="B9" s="60" t="str">
        <f>"UV3 HEPA"</f>
        <v>UV3 HEPA</v>
      </c>
      <c r="C9" s="59" t="str">
        <f>"P080211-002"</f>
        <v>P080211-002</v>
      </c>
      <c r="D9" s="25">
        <v>2011</v>
      </c>
      <c r="E9" s="61" t="str">
        <f>"2022-11-13"</f>
        <v>2022-11-13</v>
      </c>
      <c r="F9" s="25"/>
      <c r="G9" s="25"/>
      <c r="H9" s="25"/>
      <c r="I9" s="5"/>
      <c r="J9" s="5"/>
      <c r="K9" s="5"/>
    </row>
    <row r="10" spans="1:11" s="13" customFormat="1" x14ac:dyDescent="0.2">
      <c r="A10" s="30">
        <v>2</v>
      </c>
      <c r="B10" s="60" t="str">
        <f>"BioBan"</f>
        <v>BioBan</v>
      </c>
      <c r="C10" s="59" t="str">
        <f>"63170"</f>
        <v>63170</v>
      </c>
      <c r="D10" s="25">
        <v>2011</v>
      </c>
      <c r="E10" s="61" t="str">
        <f>"2022-11-13"</f>
        <v>2022-11-13</v>
      </c>
      <c r="F10" s="25"/>
      <c r="G10" s="25"/>
      <c r="H10" s="25"/>
      <c r="I10" s="5"/>
      <c r="J10" s="5"/>
      <c r="K10" s="5"/>
    </row>
    <row r="11" spans="1:11" x14ac:dyDescent="0.2">
      <c r="A11" s="24">
        <v>3</v>
      </c>
      <c r="B11" s="57" t="str">
        <f>"BioBan"</f>
        <v>BioBan</v>
      </c>
      <c r="C11" s="71" t="str">
        <f>"63171"</f>
        <v>63171</v>
      </c>
      <c r="D11" s="62">
        <v>2011</v>
      </c>
      <c r="E11" s="72" t="str">
        <f>"2022-11-13"</f>
        <v>2022-11-13</v>
      </c>
      <c r="F11" s="25"/>
      <c r="G11" s="25"/>
      <c r="H11" s="25"/>
      <c r="I11" s="5"/>
      <c r="J11" s="5"/>
      <c r="K11" s="5"/>
    </row>
    <row r="12" spans="1:11" ht="106.5" customHeight="1" x14ac:dyDescent="0.2">
      <c r="A12" s="27"/>
      <c r="B12" s="162" t="s">
        <v>445</v>
      </c>
      <c r="C12" s="162"/>
      <c r="D12" s="162"/>
      <c r="E12" s="162"/>
      <c r="F12" s="162"/>
      <c r="G12" s="31" t="s">
        <v>338</v>
      </c>
      <c r="H12" s="28"/>
      <c r="I12" s="5"/>
      <c r="J12" s="5"/>
      <c r="K12" s="5"/>
    </row>
    <row r="13" spans="1:11" ht="57.75" customHeight="1" x14ac:dyDescent="0.2">
      <c r="A13" s="27"/>
      <c r="B13" s="159" t="s">
        <v>402</v>
      </c>
      <c r="C13" s="159"/>
      <c r="D13" s="159"/>
      <c r="E13" s="159"/>
      <c r="F13" s="159"/>
      <c r="G13" s="25" t="s">
        <v>338</v>
      </c>
      <c r="H13" s="28"/>
      <c r="I13" s="5"/>
      <c r="J13" s="5"/>
      <c r="K13" s="5"/>
    </row>
    <row r="14" spans="1:11" x14ac:dyDescent="0.2">
      <c r="B14" s="3"/>
      <c r="C14" s="26"/>
      <c r="D14" s="5"/>
      <c r="E14" s="5"/>
      <c r="F14" s="5"/>
      <c r="G14" s="5"/>
      <c r="H14" s="5"/>
      <c r="I14" s="5"/>
      <c r="J14" s="5"/>
      <c r="K14" s="5"/>
    </row>
    <row r="15" spans="1:11" x14ac:dyDescent="0.2">
      <c r="A15" s="150" t="s">
        <v>192</v>
      </c>
      <c r="B15" s="151"/>
      <c r="C15" s="152"/>
      <c r="D15" s="153"/>
      <c r="E15" s="154"/>
      <c r="F15" s="155" t="s">
        <v>178</v>
      </c>
      <c r="G15" s="156"/>
      <c r="H15" s="157"/>
      <c r="I15" s="152"/>
      <c r="J15" s="153"/>
      <c r="K15" s="158"/>
    </row>
  </sheetData>
  <customSheetViews>
    <customSheetView guid="{D0B43696-C677-428B-89B5-FA762F48CCFE}" showPageBreaks="1" view="pageBreakPreview">
      <selection activeCell="H13" sqref="H13"/>
      <pageMargins left="0.75" right="0.75" top="1" bottom="1" header="0.5" footer="0.5"/>
      <pageSetup paperSize="9" scale="57" orientation="portrait" r:id="rId1"/>
      <headerFooter alignWithMargins="0"/>
    </customSheetView>
    <customSheetView guid="{1A0A59C7-6CA7-4317-90A9-40DF16B65ADD}" showPageBreaks="1" view="pageBreakPreview">
      <selection activeCell="H12" sqref="H12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2:F12"/>
    <mergeCell ref="I15:K15"/>
    <mergeCell ref="B13:F13"/>
    <mergeCell ref="A15:B15"/>
    <mergeCell ref="C15:E15"/>
    <mergeCell ref="F15:H15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 codeName="Arkusz67"/>
  <dimension ref="A1:K14"/>
  <sheetViews>
    <sheetView view="pageBreakPreview" zoomScaleNormal="100" zoomScaleSheetLayoutView="100" workbookViewId="0">
      <selection activeCell="C14" sqref="C14:E14"/>
    </sheetView>
  </sheetViews>
  <sheetFormatPr defaultRowHeight="12.75" x14ac:dyDescent="0.2"/>
  <cols>
    <col min="1" max="1" width="3" bestFit="1" customWidth="1"/>
    <col min="2" max="2" width="25.140625" customWidth="1"/>
    <col min="3" max="3" width="15.42578125" customWidth="1"/>
    <col min="4" max="4" width="12" customWidth="1"/>
    <col min="5" max="5" width="13.5703125" customWidth="1"/>
    <col min="6" max="6" width="10.42578125" customWidth="1"/>
  </cols>
  <sheetData>
    <row r="1" spans="1:11" x14ac:dyDescent="0.2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</row>
    <row r="2" spans="1:11" x14ac:dyDescent="0.2">
      <c r="A2" s="74"/>
      <c r="B2" s="75" t="s">
        <v>1</v>
      </c>
      <c r="C2" s="21">
        <v>76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75"/>
      <c r="B3" s="76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617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75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75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A7" s="74"/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s="74" customFormat="1" x14ac:dyDescent="0.2">
      <c r="A9" s="77">
        <v>1</v>
      </c>
      <c r="B9" s="24" t="s">
        <v>588</v>
      </c>
      <c r="C9" s="25" t="s">
        <v>589</v>
      </c>
      <c r="D9" s="25">
        <v>2017</v>
      </c>
      <c r="E9" s="41">
        <v>44902</v>
      </c>
      <c r="F9" s="25"/>
      <c r="G9" s="25"/>
      <c r="H9" s="25"/>
      <c r="I9" s="5"/>
      <c r="J9" s="5"/>
      <c r="K9" s="5"/>
    </row>
    <row r="10" spans="1:11" s="88" customFormat="1" x14ac:dyDescent="0.2">
      <c r="A10" s="89">
        <v>2</v>
      </c>
      <c r="B10" s="24" t="s">
        <v>588</v>
      </c>
      <c r="C10" s="25" t="s">
        <v>590</v>
      </c>
      <c r="D10" s="25">
        <v>2017</v>
      </c>
      <c r="E10" s="41">
        <v>44902</v>
      </c>
      <c r="F10" s="25"/>
      <c r="G10" s="25"/>
      <c r="H10" s="25"/>
      <c r="I10" s="5"/>
      <c r="J10" s="5"/>
      <c r="K10" s="5"/>
    </row>
    <row r="11" spans="1:11" ht="124.5" customHeight="1" x14ac:dyDescent="0.2">
      <c r="A11" s="27"/>
      <c r="B11" s="194" t="s">
        <v>616</v>
      </c>
      <c r="C11" s="194"/>
      <c r="D11" s="194"/>
      <c r="E11" s="194"/>
      <c r="F11" s="194"/>
      <c r="G11" s="31" t="s">
        <v>338</v>
      </c>
      <c r="H11" s="28"/>
      <c r="I11" s="5"/>
      <c r="J11" s="5"/>
      <c r="K11" s="5"/>
    </row>
    <row r="12" spans="1:11" ht="57" customHeight="1" x14ac:dyDescent="0.2">
      <c r="A12" s="27"/>
      <c r="B12" s="159" t="s">
        <v>402</v>
      </c>
      <c r="C12" s="159"/>
      <c r="D12" s="159"/>
      <c r="E12" s="159"/>
      <c r="F12" s="159"/>
      <c r="G12" s="25" t="s">
        <v>338</v>
      </c>
      <c r="H12" s="28"/>
      <c r="I12" s="5"/>
      <c r="J12" s="5"/>
      <c r="K12" s="5"/>
    </row>
    <row r="13" spans="1:11" x14ac:dyDescent="0.2">
      <c r="A13" s="74"/>
      <c r="B13" s="3"/>
      <c r="C13" s="26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150" t="s">
        <v>192</v>
      </c>
      <c r="B14" s="151"/>
      <c r="C14" s="152"/>
      <c r="D14" s="153"/>
      <c r="E14" s="154"/>
      <c r="F14" s="155" t="s">
        <v>178</v>
      </c>
      <c r="G14" s="156"/>
      <c r="H14" s="157"/>
      <c r="I14" s="152"/>
      <c r="J14" s="153"/>
      <c r="K14" s="158"/>
    </row>
  </sheetData>
  <customSheetViews>
    <customSheetView guid="{D0B43696-C677-428B-89B5-FA762F48CCFE}" showPageBreaks="1" view="pageBreakPreview">
      <selection activeCell="P29" sqref="P29"/>
      <pageMargins left="0.75" right="0.75" top="1" bottom="1" header="0.5" footer="0.5"/>
      <pageSetup paperSize="9" scale="70" orientation="portrait" r:id="rId1"/>
      <headerFooter alignWithMargins="0"/>
    </customSheetView>
    <customSheetView guid="{1A0A59C7-6CA7-4317-90A9-40DF16B65ADD}" showPageBreaks="1" view="pageBreakPreview">
      <selection activeCell="B11" sqref="B11:F11"/>
      <pageMargins left="0.75" right="0.75" top="1" bottom="1" header="0.5" footer="0.5"/>
      <pageSetup paperSize="9" scale="70" orientation="portrait" r:id="rId2"/>
      <headerFooter alignWithMargins="0"/>
    </customSheetView>
  </customSheetViews>
  <mergeCells count="9">
    <mergeCell ref="A14:B14"/>
    <mergeCell ref="C14:E14"/>
    <mergeCell ref="F14:H14"/>
    <mergeCell ref="I14:K14"/>
    <mergeCell ref="A4:B4"/>
    <mergeCell ref="C4:K4"/>
    <mergeCell ref="B6:K6"/>
    <mergeCell ref="B11:F11"/>
    <mergeCell ref="B12:F12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70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2:K13"/>
  <sheetViews>
    <sheetView view="pageBreakPreview" zoomScaleNormal="100" zoomScaleSheetLayoutView="100" workbookViewId="0">
      <selection activeCell="H10" sqref="H10"/>
    </sheetView>
  </sheetViews>
  <sheetFormatPr defaultColWidth="9.140625" defaultRowHeight="12.75" x14ac:dyDescent="0.2"/>
  <cols>
    <col min="1" max="1" width="3" style="88" bestFit="1" customWidth="1"/>
    <col min="2" max="2" width="25.140625" style="88" customWidth="1"/>
    <col min="3" max="3" width="15.42578125" style="88" customWidth="1"/>
    <col min="4" max="4" width="12" style="88" customWidth="1"/>
    <col min="5" max="5" width="13.5703125" style="88" customWidth="1"/>
    <col min="6" max="6" width="10.42578125" style="88" customWidth="1"/>
    <col min="7" max="16384" width="9.140625" style="88"/>
  </cols>
  <sheetData>
    <row r="2" spans="1:11" x14ac:dyDescent="0.2">
      <c r="B2" s="86" t="s">
        <v>1</v>
      </c>
      <c r="C2" s="21">
        <v>77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86"/>
      <c r="B3" s="87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43" t="s">
        <v>176</v>
      </c>
      <c r="B4" s="144"/>
      <c r="C4" s="147" t="s">
        <v>618</v>
      </c>
      <c r="D4" s="148"/>
      <c r="E4" s="148"/>
      <c r="F4" s="148"/>
      <c r="G4" s="148"/>
      <c r="H4" s="148"/>
      <c r="I4" s="148"/>
      <c r="J4" s="148"/>
      <c r="K4" s="149"/>
    </row>
    <row r="5" spans="1:11" x14ac:dyDescent="0.2">
      <c r="A5" s="8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86"/>
      <c r="B6" s="145" t="s">
        <v>676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">
      <c r="A9" s="89">
        <v>1</v>
      </c>
      <c r="B9" s="24" t="s">
        <v>608</v>
      </c>
      <c r="C9" s="25">
        <v>42292276</v>
      </c>
      <c r="D9" s="25">
        <v>2018</v>
      </c>
      <c r="E9" s="41">
        <v>44862</v>
      </c>
      <c r="F9" s="25"/>
      <c r="G9" s="25"/>
      <c r="H9" s="25"/>
      <c r="I9" s="5"/>
      <c r="J9" s="5"/>
      <c r="K9" s="5"/>
    </row>
    <row r="10" spans="1:11" ht="174.75" customHeight="1" x14ac:dyDescent="0.2">
      <c r="A10" s="27"/>
      <c r="B10" s="194" t="s">
        <v>609</v>
      </c>
      <c r="C10" s="194"/>
      <c r="D10" s="194"/>
      <c r="E10" s="194"/>
      <c r="F10" s="194"/>
      <c r="G10" s="31" t="s">
        <v>338</v>
      </c>
      <c r="H10" s="28"/>
      <c r="I10" s="5"/>
      <c r="J10" s="5"/>
      <c r="K10" s="5"/>
    </row>
    <row r="11" spans="1:11" ht="53.25" customHeight="1" x14ac:dyDescent="0.2">
      <c r="A11" s="27"/>
      <c r="B11" s="159" t="s">
        <v>402</v>
      </c>
      <c r="C11" s="159"/>
      <c r="D11" s="159"/>
      <c r="E11" s="159"/>
      <c r="F11" s="159"/>
      <c r="G11" s="25" t="s">
        <v>338</v>
      </c>
      <c r="H11" s="28"/>
      <c r="I11" s="5"/>
      <c r="J11" s="5"/>
      <c r="K11" s="5"/>
    </row>
    <row r="12" spans="1:11" x14ac:dyDescent="0.2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">
      <c r="A13" s="150" t="s">
        <v>192</v>
      </c>
      <c r="B13" s="151"/>
      <c r="C13" s="152"/>
      <c r="D13" s="153"/>
      <c r="E13" s="154"/>
      <c r="F13" s="155" t="s">
        <v>178</v>
      </c>
      <c r="G13" s="156"/>
      <c r="H13" s="157"/>
      <c r="I13" s="152"/>
      <c r="J13" s="153"/>
      <c r="K13" s="158"/>
    </row>
  </sheetData>
  <mergeCells count="9">
    <mergeCell ref="A13:B13"/>
    <mergeCell ref="C13:E13"/>
    <mergeCell ref="F13:H13"/>
    <mergeCell ref="I13:K13"/>
    <mergeCell ref="A4:B4"/>
    <mergeCell ref="C4:K4"/>
    <mergeCell ref="B6:K6"/>
    <mergeCell ref="B10:F10"/>
    <mergeCell ref="B11:F11"/>
  </mergeCells>
  <pageMargins left="0.74803149606299213" right="0.74803149606299213" top="0.98425196850393704" bottom="0.98425196850393704" header="0.51181102362204722" footer="0.51181102362204722"/>
  <pageSetup paperSize="9" scale="70" orientation="portrait" r:id="rId1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78</vt:i4>
      </vt:variant>
      <vt:variant>
        <vt:lpstr>Nazwane zakresy</vt:lpstr>
      </vt:variant>
      <vt:variant>
        <vt:i4>39</vt:i4>
      </vt:variant>
    </vt:vector>
  </HeadingPairs>
  <TitlesOfParts>
    <vt:vector size="117" baseType="lpstr">
      <vt:lpstr>Załącznik nr 1 do SWZ</vt:lpstr>
      <vt:lpstr>Część nr 1</vt:lpstr>
      <vt:lpstr>Część nr 2</vt:lpstr>
      <vt:lpstr>Część nr 3</vt:lpstr>
      <vt:lpstr>Część nr 4</vt:lpstr>
      <vt:lpstr>Część nr 5</vt:lpstr>
      <vt:lpstr>Część nr 6</vt:lpstr>
      <vt:lpstr>Część nr 7</vt:lpstr>
      <vt:lpstr>Część nr 8</vt:lpstr>
      <vt:lpstr>Część nr 9</vt:lpstr>
      <vt:lpstr>Część nr 10</vt:lpstr>
      <vt:lpstr>Część nr 11</vt:lpstr>
      <vt:lpstr>Część nr 12</vt:lpstr>
      <vt:lpstr>Część nr 13</vt:lpstr>
      <vt:lpstr>Część nr 14</vt:lpstr>
      <vt:lpstr>Część nr 15</vt:lpstr>
      <vt:lpstr>Część nr 16</vt:lpstr>
      <vt:lpstr>Część nr 17</vt:lpstr>
      <vt:lpstr>Część nr 18</vt:lpstr>
      <vt:lpstr>Część nr 19</vt:lpstr>
      <vt:lpstr>Część nr 20</vt:lpstr>
      <vt:lpstr>Część nr 21</vt:lpstr>
      <vt:lpstr>Część nr 22</vt:lpstr>
      <vt:lpstr>Część nr 23</vt:lpstr>
      <vt:lpstr>Część nr 24</vt:lpstr>
      <vt:lpstr>Część nr 25</vt:lpstr>
      <vt:lpstr>Część nr 26</vt:lpstr>
      <vt:lpstr>Część nr 27</vt:lpstr>
      <vt:lpstr>Część nr 28</vt:lpstr>
      <vt:lpstr>Część nr 29</vt:lpstr>
      <vt:lpstr>Część nr 30</vt:lpstr>
      <vt:lpstr>Część nr 31</vt:lpstr>
      <vt:lpstr>Część nr 32</vt:lpstr>
      <vt:lpstr>Część nr 33</vt:lpstr>
      <vt:lpstr>Część nr 34</vt:lpstr>
      <vt:lpstr>Część nr 35</vt:lpstr>
      <vt:lpstr>Część nr 36</vt:lpstr>
      <vt:lpstr>Część nr 37</vt:lpstr>
      <vt:lpstr>Część nr 38</vt:lpstr>
      <vt:lpstr>Część nr 39</vt:lpstr>
      <vt:lpstr>Część nr 40</vt:lpstr>
      <vt:lpstr>Część nr 41</vt:lpstr>
      <vt:lpstr>Część nr 42</vt:lpstr>
      <vt:lpstr>Część nr 43</vt:lpstr>
      <vt:lpstr>Część nr 44</vt:lpstr>
      <vt:lpstr>Część nr 45</vt:lpstr>
      <vt:lpstr>Część nr 46</vt:lpstr>
      <vt:lpstr>Część nr 47</vt:lpstr>
      <vt:lpstr>Część nr 48</vt:lpstr>
      <vt:lpstr>Część nr 49</vt:lpstr>
      <vt:lpstr>Część nr 50</vt:lpstr>
      <vt:lpstr>Część nr 51</vt:lpstr>
      <vt:lpstr>Część nr 52</vt:lpstr>
      <vt:lpstr>Część nr 53</vt:lpstr>
      <vt:lpstr>Część nr 54</vt:lpstr>
      <vt:lpstr>Część nr 55</vt:lpstr>
      <vt:lpstr>Część nr 56</vt:lpstr>
      <vt:lpstr>Część nr 57</vt:lpstr>
      <vt:lpstr>Część nr 58</vt:lpstr>
      <vt:lpstr>Część nr 59</vt:lpstr>
      <vt:lpstr>Część nr 60</vt:lpstr>
      <vt:lpstr>Część nr 61</vt:lpstr>
      <vt:lpstr>Część nr 62</vt:lpstr>
      <vt:lpstr>Część nr 63</vt:lpstr>
      <vt:lpstr>Część nr 64</vt:lpstr>
      <vt:lpstr>Część nr 65</vt:lpstr>
      <vt:lpstr>Część nr 66</vt:lpstr>
      <vt:lpstr>Część nr 67</vt:lpstr>
      <vt:lpstr>Część nr 68</vt:lpstr>
      <vt:lpstr>Część nr 69</vt:lpstr>
      <vt:lpstr>Część nr 70</vt:lpstr>
      <vt:lpstr>Część nr 71</vt:lpstr>
      <vt:lpstr>Część nr 72</vt:lpstr>
      <vt:lpstr>Część nr 73</vt:lpstr>
      <vt:lpstr>Część nr 74</vt:lpstr>
      <vt:lpstr>Część nr 75</vt:lpstr>
      <vt:lpstr>Część nr 76</vt:lpstr>
      <vt:lpstr>Część nr 77</vt:lpstr>
      <vt:lpstr>'Załącznik nr 1 do SWZ'!FO</vt:lpstr>
      <vt:lpstr>'Część nr 1'!for</vt:lpstr>
      <vt:lpstr>'Część nr 1'!Print_Area</vt:lpstr>
      <vt:lpstr>'Część nr 10'!Print_Area</vt:lpstr>
      <vt:lpstr>'Część nr 11'!Print_Area</vt:lpstr>
      <vt:lpstr>'Część nr 12'!Print_Area</vt:lpstr>
      <vt:lpstr>'Część nr 13'!Print_Area</vt:lpstr>
      <vt:lpstr>'Część nr 14'!Print_Area</vt:lpstr>
      <vt:lpstr>'Część nr 15'!Print_Area</vt:lpstr>
      <vt:lpstr>'Część nr 16'!Print_Area</vt:lpstr>
      <vt:lpstr>'Część nr 17'!Print_Area</vt:lpstr>
      <vt:lpstr>'Część nr 18'!Print_Area</vt:lpstr>
      <vt:lpstr>'Część nr 19'!Print_Area</vt:lpstr>
      <vt:lpstr>'Część nr 2'!Print_Area</vt:lpstr>
      <vt:lpstr>'Część nr 20'!Print_Area</vt:lpstr>
      <vt:lpstr>'Część nr 21'!Print_Area</vt:lpstr>
      <vt:lpstr>'Część nr 22'!Print_Area</vt:lpstr>
      <vt:lpstr>'Część nr 23'!Print_Area</vt:lpstr>
      <vt:lpstr>'Część nr 24'!Print_Area</vt:lpstr>
      <vt:lpstr>'Część nr 25'!Print_Area</vt:lpstr>
      <vt:lpstr>'Część nr 26'!Print_Area</vt:lpstr>
      <vt:lpstr>'Część nr 27'!Print_Area</vt:lpstr>
      <vt:lpstr>'Część nr 28'!Print_Area</vt:lpstr>
      <vt:lpstr>'Część nr 29'!Print_Area</vt:lpstr>
      <vt:lpstr>'Część nr 3'!Print_Area</vt:lpstr>
      <vt:lpstr>'Część nr 30'!Print_Area</vt:lpstr>
      <vt:lpstr>'Część nr 31'!Print_Area</vt:lpstr>
      <vt:lpstr>'Część nr 32'!Print_Area</vt:lpstr>
      <vt:lpstr>'Część nr 33'!Print_Area</vt:lpstr>
      <vt:lpstr>'Część nr 34'!Print_Area</vt:lpstr>
      <vt:lpstr>'Część nr 38'!Print_Area</vt:lpstr>
      <vt:lpstr>'Część nr 4'!Print_Area</vt:lpstr>
      <vt:lpstr>'Część nr 5'!Print_Area</vt:lpstr>
      <vt:lpstr>'Część nr 6'!Print_Area</vt:lpstr>
      <vt:lpstr>'Część nr 67'!Print_Area</vt:lpstr>
      <vt:lpstr>'Część nr 7'!Print_Area</vt:lpstr>
      <vt:lpstr>'Część nr 8'!Print_Area</vt:lpstr>
      <vt:lpstr>'Część nr 9'!Print_Area</vt:lpstr>
      <vt:lpstr>'Załącznik nr 1 do SWZ'!Print_Area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Joanna Kotarba</cp:lastModifiedBy>
  <cp:lastPrinted>2022-03-24T12:34:40Z</cp:lastPrinted>
  <dcterms:created xsi:type="dcterms:W3CDTF">2003-05-16T10:10:29Z</dcterms:created>
  <dcterms:modified xsi:type="dcterms:W3CDTF">2022-04-08T12:56:39Z</dcterms:modified>
</cp:coreProperties>
</file>